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D3A6"/>
  <workbookPr/>
  <bookViews>
    <workbookView xWindow="65521" yWindow="65521" windowWidth="10290" windowHeight="8115" tabRatio="807" activeTab="0"/>
  </bookViews>
  <sheets>
    <sheet name="7-SLMS" sheetId="1" r:id="rId1"/>
    <sheet name="9a-Assets" sheetId="2" r:id="rId2"/>
    <sheet name="9b-Liab" sheetId="3" r:id="rId3"/>
    <sheet name="8a- Assets" sheetId="4" r:id="rId4"/>
    <sheet name="8b- LIAB" sheetId="5" r:id="rId5"/>
    <sheet name="11 loans" sheetId="6" r:id="rId6"/>
    <sheet name="10-interest rate 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DMB_APR_98_A">#REF!</definedName>
    <definedName name="DMB_APR_98_L">#REF!</definedName>
    <definedName name="_xlnm.Print_Area" localSheetId="6">'10-interest rate '!$A$328:$N$352</definedName>
    <definedName name="_xlnm.Print_Area" localSheetId="5">'11 loans'!$A$246:$K$256</definedName>
    <definedName name="_xlnm.Print_Area" localSheetId="0">'7-SLMS'!$A$274:$S$300</definedName>
    <definedName name="_xlnm.Print_Area" localSheetId="3">'8a- Assets'!$A$254:$Q$283</definedName>
    <definedName name="_xlnm.Print_Area" localSheetId="4">'8b- LIAB'!$A$260:$Q$287</definedName>
    <definedName name="_xlnm.Print_Area" localSheetId="1">'9a-Assets'!$A$237:$X$261</definedName>
    <definedName name="_xlnm.Print_Area" localSheetId="2">'9b-Liab'!$A$264:$P$293</definedName>
    <definedName name="_xlnm.Print_Titles" localSheetId="6">'10-interest rate '!$1:$5</definedName>
    <definedName name="_xlnm.Print_Titles" localSheetId="5">'11 loans'!$1:$4</definedName>
    <definedName name="_xlnm.Print_Titles" localSheetId="0">'7-SLMS'!$1:$7</definedName>
    <definedName name="_xlnm.Print_Titles" localSheetId="3">'8a- Assets'!$1:$7</definedName>
    <definedName name="_xlnm.Print_Titles" localSheetId="4">'8b- LIAB'!$1:$7</definedName>
    <definedName name="_xlnm.Print_Titles" localSheetId="1">'9a-Assets'!$1:$6</definedName>
    <definedName name="_xlnm.Print_Titles" localSheetId="2">'9b-Liab'!$1:$7</definedName>
  </definedNames>
  <calcPr fullCalcOnLoad="1"/>
</workbook>
</file>

<file path=xl/comments1.xml><?xml version="1.0" encoding="utf-8"?>
<comments xmlns="http://schemas.openxmlformats.org/spreadsheetml/2006/main">
  <authors>
    <author>pkamara</author>
  </authors>
  <commentList>
    <comment ref="A227" authorId="0">
      <text>
        <r>
          <rPr>
            <b/>
            <sz val="8"/>
            <rFont val="Tahoma"/>
            <family val="2"/>
          </rPr>
          <t>pkamara:</t>
        </r>
        <r>
          <rPr>
            <sz val="8"/>
            <rFont val="Tahoma"/>
            <family val="2"/>
          </rPr>
          <t xml:space="preserve">
Rev.after external audit exercise
</t>
        </r>
      </text>
    </comment>
  </commentList>
</comments>
</file>

<file path=xl/comments2.xml><?xml version="1.0" encoding="utf-8"?>
<comments xmlns="http://schemas.openxmlformats.org/spreadsheetml/2006/main">
  <authors>
    <author>pkamara</author>
  </authors>
  <commentList>
    <comment ref="A192" authorId="0">
      <text>
        <r>
          <rPr>
            <b/>
            <sz val="8"/>
            <rFont val="Tahoma"/>
            <family val="2"/>
          </rPr>
          <t>pkamara:</t>
        </r>
        <r>
          <rPr>
            <sz val="8"/>
            <rFont val="Tahoma"/>
            <family val="2"/>
          </rPr>
          <t xml:space="preserve">
revised after the post ext. audit exercise
</t>
        </r>
      </text>
    </comment>
  </commentList>
</comments>
</file>

<file path=xl/comments3.xml><?xml version="1.0" encoding="utf-8"?>
<comments xmlns="http://schemas.openxmlformats.org/spreadsheetml/2006/main">
  <authors>
    <author>pkamara</author>
  </authors>
  <commentList>
    <comment ref="A220" authorId="0">
      <text>
        <r>
          <rPr>
            <b/>
            <sz val="8"/>
            <rFont val="Tahoma"/>
            <family val="2"/>
          </rPr>
          <t>pkamara: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pkamara</author>
    <author>purity kamara</author>
  </authors>
  <commentList>
    <comment ref="A206" authorId="0">
      <text>
        <r>
          <rPr>
            <b/>
            <sz val="8"/>
            <rFont val="Tahoma"/>
            <family val="2"/>
          </rPr>
          <t>pkamara:</t>
        </r>
        <r>
          <rPr>
            <sz val="8"/>
            <rFont val="Tahoma"/>
            <family val="2"/>
          </rPr>
          <t xml:space="preserve">
Revised
</t>
        </r>
      </text>
    </comment>
    <comment ref="H266" authorId="1">
      <text>
        <r>
          <rPr>
            <sz val="9"/>
            <rFont val="Tahoma"/>
            <family val="0"/>
          </rPr>
          <t xml:space="preserve"> 2year bond
</t>
        </r>
      </text>
    </comment>
  </commentList>
</comments>
</file>

<file path=xl/comments6.xml><?xml version="1.0" encoding="utf-8"?>
<comments xmlns="http://schemas.openxmlformats.org/spreadsheetml/2006/main">
  <authors>
    <author>pkamara</author>
  </authors>
  <commentList>
    <comment ref="G4" authorId="0">
      <text>
        <r>
          <rPr>
            <b/>
            <sz val="8"/>
            <rFont val="Tahoma"/>
            <family val="2"/>
          </rPr>
          <t>pkamara: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import and export trade, finacial services, other trade and tourism</t>
        </r>
        <r>
          <rPr>
            <sz val="8"/>
            <rFont val="Tahoma"/>
            <family val="2"/>
          </rPr>
          <t xml:space="preserve">
</t>
        </r>
      </text>
    </comment>
    <comment ref="I211" authorId="0">
      <text>
        <r>
          <rPr>
            <b/>
            <sz val="8"/>
            <rFont val="Tahoma"/>
            <family val="2"/>
          </rPr>
          <t>pkamara:</t>
        </r>
        <r>
          <rPr>
            <sz val="8"/>
            <rFont val="Tahoma"/>
            <family val="2"/>
          </rPr>
          <t xml:space="preserve">
O</t>
        </r>
        <r>
          <rPr>
            <sz val="11"/>
            <rFont val="Tahoma"/>
            <family val="2"/>
          </rPr>
          <t>ther services, personal  and business services</t>
        </r>
        <r>
          <rPr>
            <sz val="8"/>
            <rFont val="Tahoma"/>
            <family val="2"/>
          </rPr>
          <t xml:space="preserve">
</t>
        </r>
      </text>
    </comment>
    <comment ref="I61" authorId="0">
      <text>
        <r>
          <rPr>
            <b/>
            <sz val="8"/>
            <rFont val="Tahoma"/>
            <family val="2"/>
          </rPr>
          <t>pkamara:</t>
        </r>
        <r>
          <rPr>
            <sz val="8"/>
            <rFont val="Tahoma"/>
            <family val="2"/>
          </rPr>
          <t xml:space="preserve">
O</t>
        </r>
        <r>
          <rPr>
            <sz val="11"/>
            <rFont val="Tahoma"/>
            <family val="2"/>
          </rPr>
          <t>ther services, personal  and business services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<sst xmlns="http://schemas.openxmlformats.org/spreadsheetml/2006/main" count="3412" uniqueCount="273">
  <si>
    <t>(In Millions of Leones)</t>
  </si>
  <si>
    <t xml:space="preserve">                Foreign Assets (Net) </t>
  </si>
  <si>
    <t>End of</t>
  </si>
  <si>
    <t xml:space="preserve">Total </t>
  </si>
  <si>
    <t xml:space="preserve">Claims on </t>
  </si>
  <si>
    <t>Claims</t>
  </si>
  <si>
    <t>Money</t>
  </si>
  <si>
    <t>Quasi</t>
  </si>
  <si>
    <t>Resticted</t>
  </si>
  <si>
    <t>Long term</t>
  </si>
  <si>
    <t xml:space="preserve">Capital </t>
  </si>
  <si>
    <t xml:space="preserve">Other </t>
  </si>
  <si>
    <t>Period</t>
  </si>
  <si>
    <t>Assets (DMB)</t>
  </si>
  <si>
    <t>Private Sect.</t>
  </si>
  <si>
    <t xml:space="preserve"> on OBI</t>
  </si>
  <si>
    <t>NBFI</t>
  </si>
  <si>
    <t>Supply (M1)</t>
  </si>
  <si>
    <t>Deposits</t>
  </si>
  <si>
    <t>Foreign Liab</t>
  </si>
  <si>
    <t>Accounts</t>
  </si>
  <si>
    <t>Items (Net)</t>
  </si>
  <si>
    <t>33</t>
  </si>
  <si>
    <t>34</t>
  </si>
  <si>
    <t>0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</si>
  <si>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</si>
  <si>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</si>
  <si>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</si>
  <si>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</si>
  <si>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</si>
  <si>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</si>
  <si>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</si>
  <si>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</si>
  <si>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</si>
  <si>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32</t>
  </si>
  <si>
    <t>October</t>
  </si>
  <si>
    <t>November</t>
  </si>
  <si>
    <t>December</t>
  </si>
  <si>
    <t>Source: Bank of Sierra Leone</t>
  </si>
  <si>
    <t>Reserves</t>
  </si>
  <si>
    <t xml:space="preserve">End of </t>
  </si>
  <si>
    <t>Total</t>
  </si>
  <si>
    <t xml:space="preserve">Currency </t>
  </si>
  <si>
    <t xml:space="preserve">Foreign </t>
  </si>
  <si>
    <t xml:space="preserve">Treasury </t>
  </si>
  <si>
    <t>Claims on</t>
  </si>
  <si>
    <t xml:space="preserve">Unclassified </t>
  </si>
  <si>
    <t>with BSL</t>
  </si>
  <si>
    <t>Assets</t>
  </si>
  <si>
    <t>Bearer Bonds</t>
  </si>
  <si>
    <t>NFPE</t>
  </si>
  <si>
    <t>Priv. Sect</t>
  </si>
  <si>
    <t>NMFI</t>
  </si>
  <si>
    <t>local banks</t>
  </si>
  <si>
    <t>( In Millions of Leones)</t>
  </si>
  <si>
    <t>Demand Deposits</t>
  </si>
  <si>
    <t>Enterprises</t>
  </si>
  <si>
    <t>Individuals</t>
  </si>
  <si>
    <t>N F P E</t>
  </si>
  <si>
    <t xml:space="preserve">N M F I </t>
  </si>
  <si>
    <t xml:space="preserve"> F C Deposits</t>
  </si>
  <si>
    <t>Time Dep</t>
  </si>
  <si>
    <t xml:space="preserve">Savings </t>
  </si>
  <si>
    <t xml:space="preserve">Govt. </t>
  </si>
  <si>
    <t>Credit from</t>
  </si>
  <si>
    <t>Capital</t>
  </si>
  <si>
    <t>Unclassified</t>
  </si>
  <si>
    <t>Liabilities</t>
  </si>
  <si>
    <t>Savings</t>
  </si>
  <si>
    <t>Lending</t>
  </si>
  <si>
    <t xml:space="preserve"> Deposits</t>
  </si>
  <si>
    <t>Overdraft</t>
  </si>
  <si>
    <t>End Period</t>
  </si>
  <si>
    <t xml:space="preserve"> Average</t>
  </si>
  <si>
    <t>1 Month</t>
  </si>
  <si>
    <t>3 Months</t>
  </si>
  <si>
    <t>6 Months</t>
  </si>
  <si>
    <t>9 Months</t>
  </si>
  <si>
    <t>12 Months</t>
  </si>
  <si>
    <t>Rate</t>
  </si>
  <si>
    <t>NA</t>
  </si>
  <si>
    <t>29-33</t>
  </si>
  <si>
    <t>32-38</t>
  </si>
  <si>
    <t>24-30</t>
  </si>
  <si>
    <t>24-29</t>
  </si>
  <si>
    <t>-</t>
  </si>
  <si>
    <t>ii</t>
  </si>
  <si>
    <t>iii</t>
  </si>
  <si>
    <t>iv</t>
  </si>
  <si>
    <t>27-34</t>
  </si>
  <si>
    <t>23-28</t>
  </si>
  <si>
    <t>22-27</t>
  </si>
  <si>
    <t>26-31</t>
  </si>
  <si>
    <t>27-32</t>
  </si>
  <si>
    <t>26-32</t>
  </si>
  <si>
    <t>27-33</t>
  </si>
  <si>
    <t>Ways and</t>
  </si>
  <si>
    <t>Govt. Securities</t>
  </si>
  <si>
    <t>Contra</t>
  </si>
  <si>
    <t>Means Adv.</t>
  </si>
  <si>
    <t>issued for BSL</t>
  </si>
  <si>
    <t>DMB</t>
  </si>
  <si>
    <t>OBI</t>
  </si>
  <si>
    <t xml:space="preserve">Time, Savings </t>
  </si>
  <si>
    <t>Foreign</t>
  </si>
  <si>
    <t>Long Term</t>
  </si>
  <si>
    <t xml:space="preserve">Contra </t>
  </si>
  <si>
    <t>Issued</t>
  </si>
  <si>
    <t>Deposits*</t>
  </si>
  <si>
    <t>&amp; FC Deposits</t>
  </si>
  <si>
    <t>Foreign Liab.</t>
  </si>
  <si>
    <t>Laibilities</t>
  </si>
  <si>
    <t>*  Includes Private Sector Deposits</t>
  </si>
  <si>
    <t>Assets (BSL)</t>
  </si>
  <si>
    <t>i</t>
  </si>
  <si>
    <t>Deposit Money Bank</t>
  </si>
  <si>
    <t>Time Deposit</t>
  </si>
  <si>
    <t>25-34</t>
  </si>
  <si>
    <t>7 - Sierra Leone Monetary Survey</t>
  </si>
  <si>
    <t>8a - Deposit Money Banks - Assets</t>
  </si>
  <si>
    <t>8b - Deposit Money Banks - Liabilities</t>
  </si>
  <si>
    <t>9a - Monetary Authority - Assets</t>
  </si>
  <si>
    <t>9b - Monetary Authority -Liabilities</t>
  </si>
  <si>
    <t>26-34</t>
  </si>
  <si>
    <t>25-33</t>
  </si>
  <si>
    <t>26-35</t>
  </si>
  <si>
    <t>Lib to Local</t>
  </si>
  <si>
    <t>Commer cial</t>
  </si>
  <si>
    <t>Banks</t>
  </si>
  <si>
    <t>26-36</t>
  </si>
  <si>
    <t>25-36</t>
  </si>
  <si>
    <t>25-35</t>
  </si>
  <si>
    <t>24-34</t>
  </si>
  <si>
    <t>24-35</t>
  </si>
  <si>
    <t>23-33</t>
  </si>
  <si>
    <t>I</t>
  </si>
  <si>
    <t>Supply (M2)</t>
  </si>
  <si>
    <t xml:space="preserve"> on NFPE</t>
  </si>
  <si>
    <t>_</t>
  </si>
  <si>
    <t>22-32</t>
  </si>
  <si>
    <t>20-30</t>
  </si>
  <si>
    <t>Central Government</t>
  </si>
  <si>
    <t>Treasury Bills</t>
  </si>
  <si>
    <t>Treasury Bearer               Bonds</t>
  </si>
  <si>
    <t>25-30</t>
  </si>
  <si>
    <t>20-29</t>
  </si>
  <si>
    <t>22-29</t>
  </si>
  <si>
    <t>22-30</t>
  </si>
  <si>
    <t>23-30</t>
  </si>
  <si>
    <t>23-31</t>
  </si>
  <si>
    <t>25-31</t>
  </si>
  <si>
    <t>23-32</t>
  </si>
  <si>
    <t xml:space="preserve">October </t>
  </si>
  <si>
    <t>24-31</t>
  </si>
  <si>
    <t>october</t>
  </si>
  <si>
    <t>ectoral allocation</t>
  </si>
  <si>
    <t xml:space="preserve">ii </t>
  </si>
  <si>
    <t>Government*</t>
  </si>
  <si>
    <t xml:space="preserve"> (Monetary Operations) </t>
  </si>
  <si>
    <t xml:space="preserve">Treasury Bills </t>
  </si>
  <si>
    <t>Monetary Operation</t>
  </si>
  <si>
    <t>BSL &amp; DMBs'</t>
  </si>
  <si>
    <t>Time, Savings &amp; Foreign Currency Deposits of which</t>
  </si>
  <si>
    <t>Average</t>
  </si>
  <si>
    <t xml:space="preserve">(1 year) </t>
  </si>
  <si>
    <t xml:space="preserve">(6 months) </t>
  </si>
  <si>
    <t>24-32</t>
  </si>
  <si>
    <t>Central Bank.</t>
  </si>
  <si>
    <t>21-29</t>
  </si>
  <si>
    <t xml:space="preserve">      </t>
  </si>
  <si>
    <t>(3 months)</t>
  </si>
  <si>
    <t>21-28</t>
  </si>
  <si>
    <t xml:space="preserve"> </t>
  </si>
  <si>
    <t xml:space="preserve">             Reserve Money </t>
  </si>
  <si>
    <t>Mon. Authority</t>
  </si>
  <si>
    <t xml:space="preserve"> Operations) </t>
  </si>
  <si>
    <t>Repo</t>
  </si>
  <si>
    <t>Sale</t>
  </si>
  <si>
    <t>Financing Facility</t>
  </si>
  <si>
    <t>21 - 28</t>
  </si>
  <si>
    <t xml:space="preserve"> BSL Holdings of Special </t>
  </si>
  <si>
    <t xml:space="preserve"> BSL Holdings of </t>
  </si>
  <si>
    <t>Govt. Deposits  O/W</t>
  </si>
  <si>
    <t>September*</t>
  </si>
  <si>
    <t>TBs' (Monetary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</si>
  <si>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</si>
  <si>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</si>
  <si>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</si>
  <si>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</si>
  <si>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</si>
  <si>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</si>
  <si>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</si>
  <si>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</si>
  <si>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</si>
  <si>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</si>
  <si>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</si>
  <si>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</si>
  <si>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</si>
  <si>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ANALYSIS OF OVERDRAFTS, LOANS AND ADVANCES OF COMMERCIAL BANKS</t>
  </si>
  <si>
    <t>(Le'000)</t>
  </si>
  <si>
    <t>Percent of Total</t>
  </si>
  <si>
    <t>End     Period</t>
  </si>
  <si>
    <t>Agric, Forestry &amp; Fishing</t>
  </si>
  <si>
    <t>Mining &amp; Quarrying</t>
  </si>
  <si>
    <t>Manufacturing</t>
  </si>
  <si>
    <t>Construction</t>
  </si>
  <si>
    <t>Electricity, Gas &amp; Water</t>
  </si>
  <si>
    <t>Commerce &amp; Finance</t>
  </si>
  <si>
    <t>Transport, Storage &amp; Communication</t>
  </si>
  <si>
    <t>Services</t>
  </si>
  <si>
    <r>
      <t>Miscellaneous</t>
    </r>
    <r>
      <rPr>
        <sz val="18"/>
        <rFont val="Times New Roman"/>
        <family val="1"/>
      </rPr>
      <t>*</t>
    </r>
  </si>
  <si>
    <t>Miscellaneous</t>
  </si>
  <si>
    <t>II</t>
  </si>
  <si>
    <t>III</t>
  </si>
  <si>
    <t>IV</t>
  </si>
  <si>
    <t>Source:  Bank of Sierra Leone</t>
  </si>
  <si>
    <t xml:space="preserve"> *Includes Overdrafts and Loans to Employees.</t>
  </si>
  <si>
    <t>Other Services</t>
  </si>
  <si>
    <t>Net Foreign</t>
  </si>
  <si>
    <t>Net  Foreign</t>
  </si>
  <si>
    <t>22-28</t>
  </si>
  <si>
    <t>21-29.5</t>
  </si>
  <si>
    <t>19.7-26.6</t>
  </si>
  <si>
    <t>19.7-25.3</t>
  </si>
  <si>
    <t>20.9 -28.3</t>
  </si>
  <si>
    <t>20.56 - 27.8</t>
  </si>
  <si>
    <t>19.5-25.3</t>
  </si>
  <si>
    <t>19.5-25.32</t>
  </si>
  <si>
    <t>19.46-25.32</t>
  </si>
  <si>
    <t>19.46 - 25.68</t>
  </si>
  <si>
    <t>19.46 - 25.69</t>
  </si>
  <si>
    <t>19.21 - 25.14</t>
  </si>
  <si>
    <t>10 year  Bond</t>
  </si>
  <si>
    <t>5 year (capital) Bond</t>
  </si>
  <si>
    <t>19.23 - 25.14</t>
  </si>
  <si>
    <t>3 year  Bonds</t>
  </si>
  <si>
    <r>
      <t>December</t>
    </r>
    <r>
      <rPr>
        <i/>
        <vertAlign val="superscript"/>
        <sz val="10"/>
        <rFont val="Times New Roman"/>
        <family val="1"/>
      </rPr>
      <t>R</t>
    </r>
  </si>
  <si>
    <t>R</t>
  </si>
  <si>
    <t>*</t>
  </si>
  <si>
    <t>As from December 2014 going forward so as to conform with the IMF (Funds) definitions, some items were reviewed and adjusted accordingly</t>
  </si>
  <si>
    <t>Financing</t>
  </si>
  <si>
    <t>GOSL/IMF Budget</t>
  </si>
  <si>
    <t>Deposits**</t>
  </si>
  <si>
    <t>** Begining December 2014 defined as Treasury net position only excluding departmental deposits as previously defined.</t>
  </si>
  <si>
    <t xml:space="preserve">As from December 2014 going forward so as to conform with the IMF (Funds) definitions, some items were reviewed and adjusted accordingly; Secondly Post audit adjustments </t>
  </si>
  <si>
    <t>Sterilization Acc.</t>
  </si>
  <si>
    <t>Total *</t>
  </si>
  <si>
    <r>
      <rPr>
        <b/>
        <i/>
        <vertAlign val="superscript"/>
        <sz val="10"/>
        <rFont val="Times New Roman"/>
        <family val="1"/>
      </rPr>
      <t xml:space="preserve"> R </t>
    </r>
    <r>
      <rPr>
        <i/>
        <vertAlign val="superscript"/>
        <sz val="10"/>
        <rFont val="Times New Roman"/>
        <family val="1"/>
      </rPr>
      <t xml:space="preserve"> - </t>
    </r>
    <r>
      <rPr>
        <i/>
        <sz val="10"/>
        <rFont val="Times New Roman"/>
        <family val="1"/>
      </rPr>
      <t xml:space="preserve"> As from December 2014 going forward so as to conform with the IMF (Funds) definitions, some items were reviewed and adjusted accordingly</t>
    </r>
  </si>
  <si>
    <t>Credit to Central</t>
  </si>
  <si>
    <t>Govt (Net)</t>
  </si>
  <si>
    <t>Net Credit to</t>
  </si>
  <si>
    <t>Credit to Central Government of  which</t>
  </si>
  <si>
    <t>Credit  to Government of which</t>
  </si>
  <si>
    <t>Net Credit to Government  Revised to reflect only Ways &amp;Means Adv., IMF/BSL Onlending and secondary market operations less Government deposits</t>
  </si>
  <si>
    <t>Government deposits is defined as Treasury net position only excluding departmental deposits as previously defined which has been reclassified as Other Deposits forming part of M2.</t>
  </si>
  <si>
    <t>Domestic Credit of which</t>
  </si>
  <si>
    <t>18.77 - 25.14</t>
  </si>
  <si>
    <t>18.37 - 25.00</t>
  </si>
  <si>
    <t>18.23 - 24.95</t>
  </si>
  <si>
    <t xml:space="preserve"> Bonds</t>
  </si>
  <si>
    <t>Monetary</t>
  </si>
  <si>
    <t xml:space="preserve">Policy </t>
  </si>
  <si>
    <t>18.12 - 24.80</t>
  </si>
  <si>
    <t>Ways and Means</t>
  </si>
  <si>
    <t>Adv. Outstanding</t>
  </si>
  <si>
    <t>December*</t>
  </si>
  <si>
    <t>December 2015 to March 2016 - based on revised monetary survey</t>
  </si>
  <si>
    <t>December**</t>
  </si>
  <si>
    <t>**</t>
  </si>
  <si>
    <t>December***</t>
  </si>
  <si>
    <t>***December 2015 to March 2016 - based on revised monetary survey</t>
  </si>
  <si>
    <t>GOSL Bridge</t>
  </si>
  <si>
    <t>18.23 - 24.96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</si>
</sst>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Le&quot;#,##0;\-&quot;Le&quot;#,##0"/>
    <numFmt numFmtId="173" formatCode="&quot;Le&quot;#,##0;[Red]\-&quot;Le&quot;#,##0"/>
    <numFmt numFmtId="174" formatCode="&quot;Le&quot;#,##0.00;\-&quot;Le&quot;#,##0.00"/>
    <numFmt numFmtId="175" formatCode="&quot;Le&quot;#,##0.00;[Red]\-&quot;Le&quot;#,##0.00"/>
    <numFmt numFmtId="176" formatCode="_-&quot;Le&quot;* #,##0_-;\-&quot;Le&quot;* #,##0_-;_-&quot;Le&quot;* &quot;-&quot;_-;_-@_-"/>
    <numFmt numFmtId="177" formatCode="_-&quot;Le&quot;* #,##0.00_-;\-&quot;Le&quot;* #,##0.00_-;_-&quot;Le&quot;* &quot;-&quot;??_-;_-@_-"/>
    <numFmt numFmtId="178" formatCode="_-* #,##0.0_-;\-* #,##0.0_-;_-* &quot;-&quot;??_-;_-@_-"/>
    <numFmt numFmtId="179" formatCode="_-* #,##0_-;\-* #,##0_-;_-* &quot;-&quot;??_-;_-@_-"/>
    <numFmt numFmtId="180" formatCode="0.0"/>
    <numFmt numFmtId="181" formatCode="0.000"/>
    <numFmt numFmtId="182" formatCode="#,;\(##0\);\-#,##0"/>
    <numFmt numFmtId="183" formatCode="&quot;Le&quot;#,##0"/>
    <numFmt numFmtId="184" formatCode="0.0000"/>
    <numFmt numFmtId="185" formatCode="0.00000"/>
    <numFmt numFmtId="186" formatCode="\i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-* #,##0.000_-;\-* #,##0.000_-;_-* &quot;-&quot;??_-;_-@_-"/>
    <numFmt numFmtId="191" formatCode="#,##0.00_ ;\-#,##0.00\ "/>
    <numFmt numFmtId="192" formatCode="#,##0_ ;\-#,##0\ "/>
    <numFmt numFmtId="193" formatCode="mmmmm"/>
    <numFmt numFmtId="194" formatCode="#,##0.0"/>
    <numFmt numFmtId="195" formatCode="_-* #,##0.0000_-;\-* #,##0.0000_-;_-* &quot;-&quot;??_-;_-@_-"/>
    <numFmt numFmtId="196" formatCode="_-* #,##0.00000_-;\-* #,##0.00000_-;_-* &quot;-&quot;??_-;_-@_-"/>
    <numFmt numFmtId="197" formatCode="#,##0.000"/>
    <numFmt numFmtId="198" formatCode="#,##0.0000"/>
    <numFmt numFmtId="199" formatCode="#,##0.00000"/>
    <numFmt numFmtId="200" formatCode="#,##0.000000"/>
    <numFmt numFmtId="201" formatCode="0.000000"/>
    <numFmt numFmtId="202" formatCode="0.0000000"/>
    <numFmt numFmtId="203" formatCode="_-* #,##0.000000_-;\-* #,##0.000000_-;_-* &quot;-&quot;??_-;_-@_-"/>
    <numFmt numFmtId="204" formatCode="0.00000000"/>
    <numFmt numFmtId="205" formatCode="0.0000000000"/>
    <numFmt numFmtId="206" formatCode="0.000000000"/>
    <numFmt numFmtId="207" formatCode="[$-409]dddd\,\ mmmm\ dd\,\ yyyy"/>
    <numFmt numFmtId="208" formatCode="[$-409]mmmm\-yy;@"/>
    <numFmt numFmtId="209" formatCode="#,##0.00000000"/>
    <numFmt numFmtId="210" formatCode="[$-409]h:mm:ss\ AM/PM"/>
    <numFmt numFmtId="211" formatCode="#,##0;[Red]\(#,##0\);\-"/>
    <numFmt numFmtId="212" formatCode="d\-mmm\-yy\ h:m"/>
    <numFmt numFmtId="213" formatCode="_(* #,##0_);_(* \(#,##0\);_(* &quot;-&quot;??_);_(@_)"/>
    <numFmt numFmtId="214" formatCode="m/d/yy\ h:mm"/>
    <numFmt numFmtId="215" formatCode="0.00_);\(0.00\)"/>
    <numFmt numFmtId="216" formatCode="[$-409]mmm\-yy;@"/>
    <numFmt numFmtId="217" formatCode="d/m/yyyy\ h:mm"/>
    <numFmt numFmtId="218" formatCode="[$-809]dd\ mmmm\ yyyy"/>
    <numFmt numFmtId="219" formatCode="_-* #,##0.000_-;\-* #,##0.000_-;_-* &quot;-&quot;???_-;_-@_-"/>
    <numFmt numFmtId="220" formatCode="[$-409]dddd\,\ mmmm\ d\,\ yyyy"/>
    <numFmt numFmtId="221" formatCode="_(* #,##0.000_);_(* \(#,##0.000\);_(* &quot;-&quot;???_);_(@_)"/>
    <numFmt numFmtId="222" formatCode="#,##0.0000000000000"/>
    <numFmt numFmtId="223" formatCode="#,##0.000000000"/>
    <numFmt numFmtId="224" formatCode="#,##0.0000000"/>
  </numFmts>
  <fonts count="9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6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b/>
      <sz val="18"/>
      <name val="Arial"/>
      <family val="2"/>
    </font>
    <font>
      <b/>
      <i/>
      <sz val="18"/>
      <name val="Times New Roman"/>
      <family val="1"/>
    </font>
    <font>
      <sz val="11"/>
      <name val="Tahoma"/>
      <family val="2"/>
    </font>
    <font>
      <sz val="11"/>
      <name val="Arial"/>
      <family val="2"/>
    </font>
    <font>
      <i/>
      <vertAlign val="superscript"/>
      <sz val="10"/>
      <name val="Times New Roman"/>
      <family val="1"/>
    </font>
    <font>
      <i/>
      <sz val="14"/>
      <name val="Times New Roman"/>
      <family val="1"/>
    </font>
    <font>
      <b/>
      <i/>
      <vertAlign val="superscript"/>
      <sz val="10"/>
      <name val="Times New Roman"/>
      <family val="1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51"/>
      <name val="Times New Roman"/>
      <family val="1"/>
    </font>
    <font>
      <sz val="10"/>
      <color indexed="40"/>
      <name val="Times New Roman"/>
      <family val="1"/>
    </font>
    <font>
      <b/>
      <sz val="10"/>
      <color indexed="51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b/>
      <sz val="18"/>
      <color indexed="17"/>
      <name val="Times New Roman"/>
      <family val="1"/>
    </font>
    <font>
      <sz val="18"/>
      <color indexed="17"/>
      <name val="Times New Roman"/>
      <family val="1"/>
    </font>
    <font>
      <sz val="18"/>
      <color indexed="17"/>
      <name val="Arial"/>
      <family val="2"/>
    </font>
    <font>
      <sz val="11"/>
      <color indexed="17"/>
      <name val="Times New Roman"/>
      <family val="1"/>
    </font>
    <font>
      <sz val="18"/>
      <color indexed="51"/>
      <name val="Arial"/>
      <family val="2"/>
    </font>
    <font>
      <sz val="18"/>
      <color indexed="10"/>
      <name val="Arial"/>
      <family val="2"/>
    </font>
    <font>
      <i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92D050"/>
      <name val="Times New Roman"/>
      <family val="1"/>
    </font>
    <font>
      <sz val="10"/>
      <color rgb="FF00B0F0"/>
      <name val="Times New Roman"/>
      <family val="1"/>
    </font>
    <font>
      <b/>
      <sz val="10"/>
      <color rgb="FF92D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b/>
      <sz val="18"/>
      <color rgb="FF00B050"/>
      <name val="Times New Roman"/>
      <family val="1"/>
    </font>
    <font>
      <sz val="18"/>
      <color rgb="FF00B050"/>
      <name val="Times New Roman"/>
      <family val="1"/>
    </font>
    <font>
      <sz val="18"/>
      <color rgb="FF00B050"/>
      <name val="Arial"/>
      <family val="2"/>
    </font>
    <font>
      <sz val="11"/>
      <color rgb="FF00B050"/>
      <name val="Times New Roman"/>
      <family val="1"/>
    </font>
    <font>
      <sz val="18"/>
      <color rgb="FF92D050"/>
      <name val="Arial"/>
      <family val="2"/>
    </font>
    <font>
      <sz val="18"/>
      <color rgb="FFFF0000"/>
      <name val="Arial"/>
      <family val="2"/>
    </font>
    <font>
      <i/>
      <sz val="10"/>
      <color rgb="FF00B050"/>
      <name val="Times New Roman"/>
      <family val="1"/>
    </font>
    <font>
      <b/>
      <sz val="8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4" fontId="16" fillId="0" borderId="0" applyFont="0" applyFill="0" applyBorder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3" fontId="16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5" fillId="0" borderId="10" xfId="0" applyFont="1" applyBorder="1" applyAlignment="1">
      <alignment horizontal="centerContinuous"/>
    </xf>
    <xf numFmtId="0" fontId="8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42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12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17" xfId="0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0" fontId="10" fillId="0" borderId="19" xfId="0" applyFont="1" applyBorder="1" applyAlignment="1">
      <alignment horizontal="centerContinuous"/>
    </xf>
    <xf numFmtId="0" fontId="10" fillId="0" borderId="15" xfId="0" applyFont="1" applyBorder="1" applyAlignment="1">
      <alignment/>
    </xf>
    <xf numFmtId="0" fontId="10" fillId="0" borderId="2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3" fontId="1" fillId="0" borderId="0" xfId="42" applyNumberFormat="1" applyFont="1" applyBorder="1" applyAlignment="1">
      <alignment horizontal="center"/>
    </xf>
    <xf numFmtId="3" fontId="9" fillId="0" borderId="0" xfId="0" applyNumberFormat="1" applyFont="1" applyAlignment="1">
      <alignment/>
    </xf>
    <xf numFmtId="0" fontId="9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9" fontId="1" fillId="0" borderId="0" xfId="42" applyNumberFormat="1" applyFont="1" applyBorder="1" applyAlignment="1">
      <alignment horizontal="center"/>
    </xf>
    <xf numFmtId="193" fontId="1" fillId="0" borderId="0" xfId="0" applyNumberFormat="1" applyFont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0" fillId="0" borderId="15" xfId="0" applyFont="1" applyBorder="1" applyAlignment="1">
      <alignment horizontal="center"/>
    </xf>
    <xf numFmtId="2" fontId="9" fillId="0" borderId="0" xfId="65" applyNumberFormat="1" applyFont="1" applyBorder="1" applyAlignment="1">
      <alignment horizontal="center"/>
      <protection/>
    </xf>
    <xf numFmtId="0" fontId="9" fillId="0" borderId="0" xfId="65" applyFont="1" applyBorder="1" applyAlignment="1">
      <alignment horizontal="center"/>
      <protection/>
    </xf>
    <xf numFmtId="1" fontId="1" fillId="0" borderId="0" xfId="42" applyNumberFormat="1" applyFont="1" applyAlignment="1">
      <alignment horizontal="center"/>
    </xf>
    <xf numFmtId="179" fontId="1" fillId="0" borderId="0" xfId="42" applyNumberFormat="1" applyFont="1" applyAlignment="1">
      <alignment horizontal="center"/>
    </xf>
    <xf numFmtId="0" fontId="1" fillId="0" borderId="0" xfId="42" applyNumberFormat="1" applyFont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2" fontId="9" fillId="0" borderId="0" xfId="65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22" xfId="0" applyFont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9" fillId="0" borderId="11" xfId="65" applyNumberFormat="1" applyFont="1" applyFill="1" applyBorder="1" applyAlignment="1">
      <alignment horizontal="center"/>
      <protection/>
    </xf>
    <xf numFmtId="2" fontId="9" fillId="0" borderId="14" xfId="65" applyNumberFormat="1" applyFont="1" applyFill="1" applyBorder="1" applyAlignment="1">
      <alignment horizontal="center"/>
      <protection/>
    </xf>
    <xf numFmtId="3" fontId="7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5" fillId="0" borderId="0" xfId="0" applyFont="1" applyAlignment="1">
      <alignment horizontal="left"/>
    </xf>
    <xf numFmtId="0" fontId="1" fillId="0" borderId="23" xfId="0" applyFont="1" applyBorder="1" applyAlignment="1">
      <alignment horizontal="center"/>
    </xf>
    <xf numFmtId="3" fontId="2" fillId="0" borderId="0" xfId="0" applyNumberFormat="1" applyFont="1" applyAlignment="1">
      <alignment horizontal="left"/>
    </xf>
    <xf numFmtId="0" fontId="10" fillId="0" borderId="24" xfId="0" applyFont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79" fontId="1" fillId="0" borderId="0" xfId="42" applyNumberFormat="1" applyFont="1" applyFill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2" fontId="9" fillId="0" borderId="15" xfId="65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3" fontId="0" fillId="0" borderId="0" xfId="42" applyNumberFormat="1" applyFont="1" applyFill="1" applyAlignment="1">
      <alignment horizontal="center"/>
    </xf>
    <xf numFmtId="3" fontId="2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42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1" fontId="10" fillId="0" borderId="15" xfId="65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3" fontId="0" fillId="0" borderId="0" xfId="42" applyNumberFormat="1" applyFont="1" applyAlignment="1">
      <alignment horizontal="center"/>
    </xf>
    <xf numFmtId="3" fontId="0" fillId="0" borderId="0" xfId="4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42" applyNumberFormat="1" applyFont="1" applyAlignment="1">
      <alignment/>
    </xf>
    <xf numFmtId="179" fontId="0" fillId="0" borderId="0" xfId="42" applyNumberFormat="1" applyFont="1" applyAlignment="1">
      <alignment/>
    </xf>
    <xf numFmtId="3" fontId="0" fillId="33" borderId="0" xfId="42" applyNumberFormat="1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 horizontal="center"/>
    </xf>
    <xf numFmtId="192" fontId="0" fillId="0" borderId="0" xfId="42" applyNumberFormat="1" applyFont="1" applyAlignment="1">
      <alignment horizontal="center"/>
    </xf>
    <xf numFmtId="179" fontId="0" fillId="0" borderId="0" xfId="42" applyNumberFormat="1" applyFont="1" applyAlignment="1">
      <alignment/>
    </xf>
    <xf numFmtId="179" fontId="0" fillId="0" borderId="0" xfId="42" applyNumberFormat="1" applyFont="1" applyBorder="1" applyAlignment="1">
      <alignment horizontal="left"/>
    </xf>
    <xf numFmtId="179" fontId="0" fillId="0" borderId="0" xfId="42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9" fontId="0" fillId="0" borderId="0" xfId="42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9" fontId="0" fillId="0" borderId="0" xfId="42" applyNumberFormat="1" applyFont="1" applyFill="1" applyAlignment="1">
      <alignment/>
    </xf>
    <xf numFmtId="179" fontId="0" fillId="0" borderId="0" xfId="42" applyNumberFormat="1" applyFont="1" applyFill="1" applyAlignment="1">
      <alignment/>
    </xf>
    <xf numFmtId="0" fontId="0" fillId="0" borderId="34" xfId="0" applyFont="1" applyBorder="1" applyAlignment="1">
      <alignment horizontal="centerContinuous"/>
    </xf>
    <xf numFmtId="0" fontId="0" fillId="0" borderId="35" xfId="0" applyFont="1" applyBorder="1" applyAlignment="1">
      <alignment/>
    </xf>
    <xf numFmtId="1" fontId="10" fillId="0" borderId="14" xfId="65" applyNumberFormat="1" applyFont="1" applyFill="1" applyBorder="1" applyAlignment="1">
      <alignment horizontal="center"/>
      <protection/>
    </xf>
    <xf numFmtId="0" fontId="9" fillId="0" borderId="22" xfId="0" applyFont="1" applyBorder="1" applyAlignment="1">
      <alignment/>
    </xf>
    <xf numFmtId="2" fontId="9" fillId="0" borderId="36" xfId="65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/>
    </xf>
    <xf numFmtId="179" fontId="17" fillId="0" borderId="0" xfId="42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78" fillId="34" borderId="0" xfId="0" applyFont="1" applyFill="1" applyAlignment="1">
      <alignment/>
    </xf>
    <xf numFmtId="3" fontId="78" fillId="0" borderId="0" xfId="0" applyNumberFormat="1" applyFont="1" applyAlignment="1">
      <alignment/>
    </xf>
    <xf numFmtId="0" fontId="78" fillId="0" borderId="0" xfId="0" applyFont="1" applyAlignment="1">
      <alignment/>
    </xf>
    <xf numFmtId="0" fontId="79" fillId="34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179" fontId="0" fillId="35" borderId="0" xfId="42" applyNumberFormat="1" applyFont="1" applyFill="1" applyAlignment="1">
      <alignment/>
    </xf>
    <xf numFmtId="3" fontId="0" fillId="35" borderId="0" xfId="0" applyNumberFormat="1" applyFont="1" applyFill="1" applyBorder="1" applyAlignment="1">
      <alignment horizontal="center"/>
    </xf>
    <xf numFmtId="3" fontId="0" fillId="35" borderId="0" xfId="0" applyNumberFormat="1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3" fontId="1" fillId="35" borderId="0" xfId="0" applyNumberFormat="1" applyFont="1" applyFill="1" applyAlignment="1">
      <alignment horizontal="center"/>
    </xf>
    <xf numFmtId="0" fontId="80" fillId="35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3" fontId="0" fillId="35" borderId="0" xfId="42" applyNumberFormat="1" applyFont="1" applyFill="1" applyAlignment="1">
      <alignment horizontal="center"/>
    </xf>
    <xf numFmtId="0" fontId="79" fillId="0" borderId="0" xfId="0" applyFont="1" applyFill="1" applyAlignment="1">
      <alignment/>
    </xf>
    <xf numFmtId="0" fontId="78" fillId="0" borderId="0" xfId="0" applyFont="1" applyFill="1" applyAlignment="1">
      <alignment/>
    </xf>
    <xf numFmtId="3" fontId="78" fillId="0" borderId="0" xfId="0" applyNumberFormat="1" applyFont="1" applyFill="1" applyAlignment="1">
      <alignment/>
    </xf>
    <xf numFmtId="2" fontId="20" fillId="0" borderId="0" xfId="42" applyNumberFormat="1" applyFont="1" applyFill="1" applyBorder="1" applyAlignment="1">
      <alignment/>
    </xf>
    <xf numFmtId="179" fontId="1" fillId="35" borderId="0" xfId="42" applyNumberFormat="1" applyFont="1" applyFill="1" applyAlignment="1">
      <alignment horizontal="center"/>
    </xf>
    <xf numFmtId="0" fontId="0" fillId="35" borderId="0" xfId="0" applyFont="1" applyFill="1" applyAlignment="1">
      <alignment/>
    </xf>
    <xf numFmtId="0" fontId="79" fillId="0" borderId="0" xfId="0" applyFont="1" applyAlignment="1">
      <alignment/>
    </xf>
    <xf numFmtId="3" fontId="79" fillId="0" borderId="0" xfId="0" applyNumberFormat="1" applyFont="1" applyAlignment="1">
      <alignment/>
    </xf>
    <xf numFmtId="179" fontId="0" fillId="0" borderId="0" xfId="42" applyNumberFormat="1" applyFont="1" applyFill="1" applyBorder="1" applyAlignment="1">
      <alignment horizontal="center"/>
    </xf>
    <xf numFmtId="179" fontId="0" fillId="0" borderId="0" xfId="42" applyNumberFormat="1" applyFont="1" applyFill="1" applyAlignment="1">
      <alignment horizontal="center"/>
    </xf>
    <xf numFmtId="2" fontId="0" fillId="0" borderId="0" xfId="0" applyNumberFormat="1" applyFont="1" applyAlignment="1">
      <alignment/>
    </xf>
    <xf numFmtId="0" fontId="21" fillId="0" borderId="0" xfId="64" applyFont="1" applyFill="1" applyBorder="1" applyAlignment="1">
      <alignment horizontal="center"/>
      <protection/>
    </xf>
    <xf numFmtId="0" fontId="22" fillId="0" borderId="0" xfId="64" applyFont="1" applyFill="1" applyBorder="1">
      <alignment/>
      <protection/>
    </xf>
    <xf numFmtId="0" fontId="21" fillId="0" borderId="10" xfId="64" applyFont="1" applyFill="1" applyBorder="1" applyAlignment="1">
      <alignment horizontal="center"/>
      <protection/>
    </xf>
    <xf numFmtId="0" fontId="22" fillId="0" borderId="0" xfId="64" applyFont="1" applyFill="1">
      <alignment/>
      <protection/>
    </xf>
    <xf numFmtId="0" fontId="21" fillId="0" borderId="10" xfId="64" applyFont="1" applyFill="1" applyBorder="1" applyAlignment="1">
      <alignment horizontal="center" vertical="center" wrapText="1"/>
      <protection/>
    </xf>
    <xf numFmtId="0" fontId="22" fillId="0" borderId="0" xfId="64" applyFont="1" applyFill="1" applyBorder="1" applyAlignment="1">
      <alignment vertical="center"/>
      <protection/>
    </xf>
    <xf numFmtId="0" fontId="21" fillId="0" borderId="0" xfId="64" applyFont="1" applyFill="1" applyBorder="1" applyAlignment="1">
      <alignment horizontal="center" vertical="center" wrapText="1"/>
      <protection/>
    </xf>
    <xf numFmtId="179" fontId="21" fillId="0" borderId="0" xfId="45" applyNumberFormat="1" applyFont="1" applyFill="1" applyBorder="1" applyAlignment="1">
      <alignment/>
    </xf>
    <xf numFmtId="2" fontId="24" fillId="0" borderId="0" xfId="64" applyNumberFormat="1" applyFont="1" applyFill="1">
      <alignment/>
      <protection/>
    </xf>
    <xf numFmtId="0" fontId="24" fillId="0" borderId="0" xfId="64" applyFont="1" applyFill="1">
      <alignment/>
      <protection/>
    </xf>
    <xf numFmtId="179" fontId="25" fillId="0" borderId="0" xfId="45" applyNumberFormat="1" applyFont="1" applyFill="1" applyBorder="1" applyAlignment="1">
      <alignment horizontal="center"/>
    </xf>
    <xf numFmtId="2" fontId="22" fillId="0" borderId="0" xfId="64" applyNumberFormat="1" applyFont="1" applyFill="1">
      <alignment/>
      <protection/>
    </xf>
    <xf numFmtId="179" fontId="23" fillId="0" borderId="0" xfId="45" applyNumberFormat="1" applyFont="1" applyFill="1" applyBorder="1" applyAlignment="1">
      <alignment/>
    </xf>
    <xf numFmtId="179" fontId="21" fillId="0" borderId="0" xfId="45" applyNumberFormat="1" applyFont="1" applyFill="1" applyBorder="1" applyAlignment="1">
      <alignment/>
    </xf>
    <xf numFmtId="179" fontId="23" fillId="0" borderId="0" xfId="45" applyNumberFormat="1" applyFont="1" applyFill="1" applyAlignment="1">
      <alignment/>
    </xf>
    <xf numFmtId="179" fontId="21" fillId="0" borderId="0" xfId="45" applyNumberFormat="1" applyFont="1" applyFill="1" applyAlignment="1">
      <alignment/>
    </xf>
    <xf numFmtId="179" fontId="23" fillId="0" borderId="0" xfId="45" applyNumberFormat="1" applyFont="1" applyFill="1" applyAlignment="1">
      <alignment horizontal="right"/>
    </xf>
    <xf numFmtId="179" fontId="21" fillId="0" borderId="0" xfId="45" applyNumberFormat="1" applyFont="1" applyFill="1" applyAlignment="1">
      <alignment horizontal="right"/>
    </xf>
    <xf numFmtId="0" fontId="23" fillId="0" borderId="0" xfId="64" applyFont="1" applyFill="1">
      <alignment/>
      <protection/>
    </xf>
    <xf numFmtId="3" fontId="21" fillId="0" borderId="0" xfId="64" applyNumberFormat="1" applyFont="1" applyFill="1" applyBorder="1">
      <alignment/>
      <protection/>
    </xf>
    <xf numFmtId="179" fontId="22" fillId="0" borderId="0" xfId="64" applyNumberFormat="1" applyFont="1" applyFill="1">
      <alignment/>
      <protection/>
    </xf>
    <xf numFmtId="0" fontId="21" fillId="0" borderId="0" xfId="64" applyFont="1" applyFill="1" applyBorder="1" applyAlignment="1">
      <alignment horizontal="left"/>
      <protection/>
    </xf>
    <xf numFmtId="0" fontId="22" fillId="0" borderId="0" xfId="64" applyFont="1" applyFill="1" applyAlignment="1">
      <alignment horizontal="left"/>
      <protection/>
    </xf>
    <xf numFmtId="212" fontId="21" fillId="0" borderId="0" xfId="64" applyNumberFormat="1" applyFont="1" applyFill="1" applyBorder="1" applyAlignment="1">
      <alignment horizontal="center"/>
      <protection/>
    </xf>
    <xf numFmtId="171" fontId="22" fillId="0" borderId="0" xfId="42" applyFont="1" applyFill="1" applyAlignment="1">
      <alignment/>
    </xf>
    <xf numFmtId="179" fontId="81" fillId="0" borderId="0" xfId="42" applyNumberFormat="1" applyFont="1" applyFill="1" applyAlignment="1">
      <alignment horizontal="center"/>
    </xf>
    <xf numFmtId="3" fontId="79" fillId="0" borderId="0" xfId="42" applyNumberFormat="1" applyFont="1" applyFill="1" applyAlignment="1">
      <alignment horizontal="center"/>
    </xf>
    <xf numFmtId="0" fontId="82" fillId="0" borderId="0" xfId="0" applyFont="1" applyFill="1" applyAlignment="1">
      <alignment horizontal="center"/>
    </xf>
    <xf numFmtId="179" fontId="83" fillId="0" borderId="0" xfId="42" applyNumberFormat="1" applyFont="1" applyAlignment="1">
      <alignment/>
    </xf>
    <xf numFmtId="3" fontId="83" fillId="0" borderId="0" xfId="0" applyNumberFormat="1" applyFont="1" applyFill="1" applyBorder="1" applyAlignment="1">
      <alignment horizontal="center"/>
    </xf>
    <xf numFmtId="3" fontId="83" fillId="0" borderId="0" xfId="0" applyNumberFormat="1" applyFont="1" applyFill="1" applyAlignment="1">
      <alignment horizontal="center"/>
    </xf>
    <xf numFmtId="0" fontId="83" fillId="0" borderId="0" xfId="0" applyFont="1" applyFill="1" applyAlignment="1">
      <alignment horizontal="center"/>
    </xf>
    <xf numFmtId="3" fontId="82" fillId="0" borderId="0" xfId="0" applyNumberFormat="1" applyFont="1" applyFill="1" applyAlignment="1">
      <alignment horizontal="center"/>
    </xf>
    <xf numFmtId="0" fontId="83" fillId="0" borderId="0" xfId="0" applyFont="1" applyAlignment="1">
      <alignment/>
    </xf>
    <xf numFmtId="0" fontId="83" fillId="34" borderId="0" xfId="0" applyFont="1" applyFill="1" applyAlignment="1">
      <alignment/>
    </xf>
    <xf numFmtId="3" fontId="83" fillId="0" borderId="0" xfId="42" applyNumberFormat="1" applyFont="1" applyFill="1" applyAlignment="1">
      <alignment horizontal="center"/>
    </xf>
    <xf numFmtId="0" fontId="83" fillId="0" borderId="0" xfId="0" applyFont="1" applyFill="1" applyAlignment="1">
      <alignment/>
    </xf>
    <xf numFmtId="179" fontId="83" fillId="0" borderId="0" xfId="42" applyNumberFormat="1" applyFont="1" applyFill="1" applyAlignment="1">
      <alignment/>
    </xf>
    <xf numFmtId="3" fontId="83" fillId="0" borderId="0" xfId="0" applyNumberFormat="1" applyFont="1" applyFill="1" applyAlignment="1">
      <alignment/>
    </xf>
    <xf numFmtId="3" fontId="83" fillId="0" borderId="0" xfId="0" applyNumberFormat="1" applyFont="1" applyBorder="1" applyAlignment="1">
      <alignment horizontal="center" vertical="center"/>
    </xf>
    <xf numFmtId="3" fontId="83" fillId="0" borderId="0" xfId="0" applyNumberFormat="1" applyFont="1" applyFill="1" applyBorder="1" applyAlignment="1">
      <alignment horizontal="center" vertical="center"/>
    </xf>
    <xf numFmtId="3" fontId="83" fillId="0" borderId="0" xfId="0" applyNumberFormat="1" applyFont="1" applyFill="1" applyAlignment="1">
      <alignment horizontal="center" vertical="center"/>
    </xf>
    <xf numFmtId="3" fontId="83" fillId="0" borderId="0" xfId="0" applyNumberFormat="1" applyFont="1" applyAlignment="1">
      <alignment horizontal="center" vertical="center"/>
    </xf>
    <xf numFmtId="179" fontId="83" fillId="0" borderId="0" xfId="42" applyNumberFormat="1" applyFont="1" applyFill="1" applyAlignment="1">
      <alignment horizont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179" fontId="1" fillId="0" borderId="0" xfId="42" applyNumberFormat="1" applyFont="1" applyAlignment="1">
      <alignment horizontal="center" vertical="center"/>
    </xf>
    <xf numFmtId="0" fontId="84" fillId="0" borderId="0" xfId="64" applyFont="1" applyFill="1" applyBorder="1" applyAlignment="1">
      <alignment horizontal="center"/>
      <protection/>
    </xf>
    <xf numFmtId="179" fontId="85" fillId="0" borderId="0" xfId="45" applyNumberFormat="1" applyFont="1" applyFill="1" applyBorder="1" applyAlignment="1">
      <alignment/>
    </xf>
    <xf numFmtId="0" fontId="86" fillId="0" borderId="0" xfId="64" applyFont="1" applyFill="1">
      <alignment/>
      <protection/>
    </xf>
    <xf numFmtId="2" fontId="87" fillId="0" borderId="0" xfId="65" applyNumberFormat="1" applyFont="1" applyFill="1" applyBorder="1" applyAlignment="1">
      <alignment horizontal="center"/>
      <protection/>
    </xf>
    <xf numFmtId="179" fontId="0" fillId="0" borderId="0" xfId="0" applyNumberFormat="1" applyFont="1" applyAlignment="1">
      <alignment/>
    </xf>
    <xf numFmtId="2" fontId="9" fillId="0" borderId="0" xfId="0" applyNumberFormat="1" applyFont="1" applyAlignment="1">
      <alignment horizontal="center"/>
    </xf>
    <xf numFmtId="3" fontId="0" fillId="36" borderId="0" xfId="42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88" fillId="0" borderId="0" xfId="64" applyFont="1" applyFill="1">
      <alignment/>
      <protection/>
    </xf>
    <xf numFmtId="3" fontId="79" fillId="0" borderId="0" xfId="0" applyNumberFormat="1" applyFont="1" applyFill="1" applyAlignment="1">
      <alignment/>
    </xf>
    <xf numFmtId="3" fontId="79" fillId="0" borderId="0" xfId="0" applyNumberFormat="1" applyFont="1" applyAlignment="1">
      <alignment horizontal="center" vertical="center"/>
    </xf>
    <xf numFmtId="2" fontId="27" fillId="0" borderId="11" xfId="64" applyNumberFormat="1" applyFont="1" applyFill="1" applyBorder="1" applyAlignment="1">
      <alignment horizontal="center"/>
      <protection/>
    </xf>
    <xf numFmtId="2" fontId="27" fillId="0" borderId="0" xfId="64" applyNumberFormat="1" applyFont="1" applyFill="1" applyBorder="1" applyAlignment="1">
      <alignment horizontal="center"/>
      <protection/>
    </xf>
    <xf numFmtId="2" fontId="27" fillId="0" borderId="0" xfId="64" applyNumberFormat="1" applyFont="1" applyBorder="1" applyAlignment="1">
      <alignment horizontal="center"/>
      <protection/>
    </xf>
    <xf numFmtId="179" fontId="23" fillId="0" borderId="0" xfId="42" applyNumberFormat="1" applyFont="1" applyFill="1" applyBorder="1" applyAlignment="1">
      <alignment/>
    </xf>
    <xf numFmtId="0" fontId="89" fillId="0" borderId="0" xfId="64" applyFont="1" applyFill="1">
      <alignment/>
      <protection/>
    </xf>
    <xf numFmtId="0" fontId="1" fillId="0" borderId="0" xfId="42" applyNumberFormat="1" applyFont="1" applyFill="1" applyAlignment="1">
      <alignment horizontal="center"/>
    </xf>
    <xf numFmtId="0" fontId="1" fillId="0" borderId="0" xfId="42" applyNumberFormat="1" applyFont="1" applyAlignment="1">
      <alignment horizontal="center" vertical="center"/>
    </xf>
    <xf numFmtId="3" fontId="0" fillId="0" borderId="0" xfId="67" applyNumberFormat="1" applyFont="1" applyFill="1" applyBorder="1" applyAlignment="1" applyProtection="1">
      <alignment horizontal="center"/>
      <protection/>
    </xf>
    <xf numFmtId="0" fontId="1" fillId="37" borderId="0" xfId="0" applyFont="1" applyFill="1" applyAlignment="1">
      <alignment horizontal="center"/>
    </xf>
    <xf numFmtId="179" fontId="0" fillId="37" borderId="0" xfId="42" applyNumberFormat="1" applyFont="1" applyFill="1" applyAlignment="1">
      <alignment/>
    </xf>
    <xf numFmtId="3" fontId="0" fillId="37" borderId="0" xfId="0" applyNumberFormat="1" applyFont="1" applyFill="1" applyBorder="1" applyAlignment="1">
      <alignment horizontal="center"/>
    </xf>
    <xf numFmtId="3" fontId="0" fillId="37" borderId="0" xfId="0" applyNumberFormat="1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83" fillId="37" borderId="0" xfId="0" applyFont="1" applyFill="1" applyAlignment="1">
      <alignment/>
    </xf>
    <xf numFmtId="3" fontId="83" fillId="37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79" fontId="2" fillId="0" borderId="0" xfId="42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0" fillId="0" borderId="0" xfId="0" applyFont="1" applyFill="1" applyAlignment="1">
      <alignment/>
    </xf>
    <xf numFmtId="3" fontId="90" fillId="0" borderId="0" xfId="0" applyNumberFormat="1" applyFont="1" applyFill="1" applyAlignment="1">
      <alignment/>
    </xf>
    <xf numFmtId="3" fontId="0" fillId="37" borderId="0" xfId="42" applyNumberFormat="1" applyFont="1" applyFill="1" applyAlignment="1">
      <alignment horizontal="center"/>
    </xf>
    <xf numFmtId="179" fontId="0" fillId="37" borderId="0" xfId="42" applyNumberFormat="1" applyFont="1" applyFill="1" applyAlignment="1">
      <alignment horizontal="center"/>
    </xf>
    <xf numFmtId="179" fontId="1" fillId="37" borderId="0" xfId="42" applyNumberFormat="1" applyFont="1" applyFill="1" applyAlignment="1">
      <alignment horizontal="center"/>
    </xf>
    <xf numFmtId="0" fontId="79" fillId="37" borderId="0" xfId="0" applyFont="1" applyFill="1" applyAlignment="1">
      <alignment/>
    </xf>
    <xf numFmtId="0" fontId="29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179" fontId="0" fillId="0" borderId="10" xfId="42" applyNumberFormat="1" applyFont="1" applyBorder="1" applyAlignment="1">
      <alignment/>
    </xf>
    <xf numFmtId="179" fontId="0" fillId="0" borderId="15" xfId="42" applyNumberFormat="1" applyFont="1" applyBorder="1" applyAlignment="1">
      <alignment/>
    </xf>
    <xf numFmtId="179" fontId="1" fillId="0" borderId="11" xfId="42" applyNumberFormat="1" applyFont="1" applyBorder="1" applyAlignment="1">
      <alignment horizontal="center"/>
    </xf>
    <xf numFmtId="179" fontId="1" fillId="0" borderId="15" xfId="42" applyNumberFormat="1" applyFont="1" applyBorder="1" applyAlignment="1">
      <alignment horizontal="center"/>
    </xf>
    <xf numFmtId="179" fontId="1" fillId="0" borderId="16" xfId="42" applyNumberFormat="1" applyFont="1" applyBorder="1" applyAlignment="1">
      <alignment horizontal="center"/>
    </xf>
    <xf numFmtId="179" fontId="1" fillId="0" borderId="12" xfId="42" applyNumberFormat="1" applyFont="1" applyFill="1" applyBorder="1" applyAlignment="1">
      <alignment horizontal="center"/>
    </xf>
    <xf numFmtId="179" fontId="1" fillId="0" borderId="10" xfId="42" applyNumberFormat="1" applyFont="1" applyBorder="1" applyAlignment="1">
      <alignment horizontal="center"/>
    </xf>
    <xf numFmtId="179" fontId="0" fillId="35" borderId="0" xfId="42" applyNumberFormat="1" applyFont="1" applyFill="1" applyAlignment="1">
      <alignment horizontal="center"/>
    </xf>
    <xf numFmtId="179" fontId="0" fillId="0" borderId="0" xfId="42" applyNumberFormat="1" applyFont="1" applyFill="1" applyBorder="1" applyAlignment="1" applyProtection="1">
      <alignment horizontal="center"/>
      <protection/>
    </xf>
    <xf numFmtId="179" fontId="2" fillId="0" borderId="0" xfId="42" applyNumberFormat="1" applyFont="1" applyFill="1" applyAlignment="1">
      <alignment horizontal="center"/>
    </xf>
    <xf numFmtId="3" fontId="0" fillId="37" borderId="0" xfId="42" applyNumberFormat="1" applyFont="1" applyFill="1" applyBorder="1" applyAlignment="1">
      <alignment horizontal="center"/>
    </xf>
    <xf numFmtId="3" fontId="0" fillId="37" borderId="0" xfId="0" applyNumberFormat="1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3" fontId="79" fillId="37" borderId="0" xfId="0" applyNumberFormat="1" applyFont="1" applyFill="1" applyAlignment="1">
      <alignment horizontal="center" vertical="center"/>
    </xf>
    <xf numFmtId="0" fontId="0" fillId="37" borderId="0" xfId="0" applyFont="1" applyFill="1" applyAlignment="1">
      <alignment/>
    </xf>
    <xf numFmtId="179" fontId="0" fillId="0" borderId="10" xfId="42" applyNumberFormat="1" applyFont="1" applyBorder="1" applyAlignment="1">
      <alignment horizontal="centerContinuous"/>
    </xf>
    <xf numFmtId="179" fontId="0" fillId="0" borderId="13" xfId="42" applyNumberFormat="1" applyFont="1" applyBorder="1" applyAlignment="1">
      <alignment horizontal="centerContinuous"/>
    </xf>
    <xf numFmtId="179" fontId="0" fillId="0" borderId="0" xfId="42" applyNumberFormat="1" applyFont="1" applyBorder="1" applyAlignment="1">
      <alignment/>
    </xf>
    <xf numFmtId="179" fontId="1" fillId="0" borderId="0" xfId="42" applyNumberFormat="1" applyFont="1" applyBorder="1" applyAlignment="1">
      <alignment/>
    </xf>
    <xf numFmtId="179" fontId="2" fillId="0" borderId="0" xfId="42" applyNumberFormat="1" applyFont="1" applyFill="1" applyBorder="1" applyAlignment="1">
      <alignment horizontal="center"/>
    </xf>
    <xf numFmtId="179" fontId="5" fillId="0" borderId="10" xfId="42" applyNumberFormat="1" applyFont="1" applyBorder="1" applyAlignment="1">
      <alignment horizontal="centerContinuous"/>
    </xf>
    <xf numFmtId="179" fontId="5" fillId="0" borderId="0" xfId="42" applyNumberFormat="1" applyFont="1" applyBorder="1" applyAlignment="1">
      <alignment horizontal="centerContinuous"/>
    </xf>
    <xf numFmtId="179" fontId="1" fillId="0" borderId="38" xfId="42" applyNumberFormat="1" applyFont="1" applyBorder="1" applyAlignment="1">
      <alignment horizontal="center"/>
    </xf>
    <xf numFmtId="179" fontId="5" fillId="0" borderId="0" xfId="42" applyNumberFormat="1" applyFont="1" applyBorder="1" applyAlignment="1">
      <alignment horizontal="left"/>
    </xf>
    <xf numFmtId="179" fontId="5" fillId="0" borderId="38" xfId="42" applyNumberFormat="1" applyFont="1" applyBorder="1" applyAlignment="1">
      <alignment horizontal="centerContinuous"/>
    </xf>
    <xf numFmtId="179" fontId="5" fillId="0" borderId="39" xfId="42" applyNumberFormat="1" applyFont="1" applyBorder="1" applyAlignment="1">
      <alignment horizontal="centerContinuous"/>
    </xf>
    <xf numFmtId="179" fontId="5" fillId="0" borderId="29" xfId="42" applyNumberFormat="1" applyFont="1" applyBorder="1" applyAlignment="1">
      <alignment horizontal="centerContinuous"/>
    </xf>
    <xf numFmtId="179" fontId="1" fillId="0" borderId="28" xfId="42" applyNumberFormat="1" applyFont="1" applyBorder="1" applyAlignment="1">
      <alignment horizontal="center"/>
    </xf>
    <xf numFmtId="179" fontId="1" fillId="0" borderId="21" xfId="42" applyNumberFormat="1" applyFont="1" applyBorder="1" applyAlignment="1">
      <alignment horizontal="center"/>
    </xf>
    <xf numFmtId="179" fontId="1" fillId="0" borderId="40" xfId="42" applyNumberFormat="1" applyFont="1" applyBorder="1" applyAlignment="1">
      <alignment horizontal="center"/>
    </xf>
    <xf numFmtId="179" fontId="1" fillId="0" borderId="41" xfId="42" applyNumberFormat="1" applyFont="1" applyBorder="1" applyAlignment="1">
      <alignment horizontal="center"/>
    </xf>
    <xf numFmtId="179" fontId="1" fillId="0" borderId="13" xfId="42" applyNumberFormat="1" applyFont="1" applyBorder="1" applyAlignment="1">
      <alignment horizontal="center"/>
    </xf>
    <xf numFmtId="179" fontId="1" fillId="0" borderId="42" xfId="42" applyNumberFormat="1" applyFont="1" applyFill="1" applyBorder="1" applyAlignment="1">
      <alignment horizontal="center"/>
    </xf>
    <xf numFmtId="179" fontId="1" fillId="0" borderId="42" xfId="42" applyNumberFormat="1" applyFont="1" applyBorder="1" applyAlignment="1">
      <alignment horizontal="center"/>
    </xf>
    <xf numFmtId="179" fontId="1" fillId="0" borderId="31" xfId="42" applyNumberFormat="1" applyFont="1" applyBorder="1" applyAlignment="1">
      <alignment horizontal="center"/>
    </xf>
    <xf numFmtId="179" fontId="79" fillId="0" borderId="0" xfId="42" applyNumberFormat="1" applyFont="1" applyFill="1" applyAlignment="1">
      <alignment horizontal="center"/>
    </xf>
    <xf numFmtId="179" fontId="0" fillId="36" borderId="0" xfId="42" applyNumberFormat="1" applyFont="1" applyFill="1" applyAlignment="1">
      <alignment horizontal="center"/>
    </xf>
    <xf numFmtId="0" fontId="5" fillId="0" borderId="35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79" fontId="78" fillId="0" borderId="0" xfId="42" applyNumberFormat="1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" fontId="10" fillId="0" borderId="0" xfId="65" applyNumberFormat="1" applyFont="1" applyFill="1" applyBorder="1" applyAlignment="1">
      <alignment horizontal="center"/>
      <protection/>
    </xf>
    <xf numFmtId="1" fontId="10" fillId="0" borderId="11" xfId="65" applyNumberFormat="1" applyFont="1" applyFill="1" applyBorder="1" applyAlignment="1">
      <alignment horizontal="center"/>
      <protection/>
    </xf>
    <xf numFmtId="2" fontId="0" fillId="0" borderId="0" xfId="0" applyNumberFormat="1" applyFont="1" applyAlignment="1">
      <alignment horizontal="center"/>
    </xf>
    <xf numFmtId="190" fontId="21" fillId="0" borderId="0" xfId="42" applyNumberFormat="1" applyFont="1" applyFill="1" applyBorder="1" applyAlignment="1">
      <alignment horizontal="center"/>
    </xf>
    <xf numFmtId="190" fontId="23" fillId="0" borderId="0" xfId="42" applyNumberFormat="1" applyFont="1" applyFill="1" applyBorder="1" applyAlignment="1">
      <alignment/>
    </xf>
    <xf numFmtId="190" fontId="21" fillId="0" borderId="0" xfId="42" applyNumberFormat="1" applyFont="1" applyFill="1" applyBorder="1" applyAlignment="1">
      <alignment/>
    </xf>
    <xf numFmtId="190" fontId="22" fillId="0" borderId="0" xfId="42" applyNumberFormat="1" applyFont="1" applyFill="1" applyAlignment="1">
      <alignment/>
    </xf>
    <xf numFmtId="179" fontId="21" fillId="0" borderId="0" xfId="42" applyNumberFormat="1" applyFont="1" applyFill="1" applyBorder="1" applyAlignment="1">
      <alignment horizontal="center"/>
    </xf>
    <xf numFmtId="179" fontId="21" fillId="0" borderId="0" xfId="42" applyNumberFormat="1" applyFont="1" applyFill="1" applyBorder="1" applyAlignment="1">
      <alignment/>
    </xf>
    <xf numFmtId="179" fontId="86" fillId="0" borderId="0" xfId="42" applyNumberFormat="1" applyFont="1" applyFill="1" applyAlignment="1">
      <alignment/>
    </xf>
    <xf numFmtId="179" fontId="22" fillId="0" borderId="0" xfId="42" applyNumberFormat="1" applyFont="1" applyFill="1" applyAlignment="1">
      <alignment/>
    </xf>
    <xf numFmtId="171" fontId="22" fillId="0" borderId="0" xfId="64" applyNumberFormat="1" applyFont="1" applyFill="1" applyBorder="1">
      <alignment/>
      <protection/>
    </xf>
    <xf numFmtId="0" fontId="10" fillId="0" borderId="15" xfId="65" applyNumberFormat="1" applyFont="1" applyFill="1" applyBorder="1" applyAlignment="1">
      <alignment horizontal="center"/>
      <protection/>
    </xf>
    <xf numFmtId="179" fontId="23" fillId="0" borderId="0" xfId="42" applyNumberFormat="1" applyFont="1" applyFill="1" applyAlignment="1">
      <alignment/>
    </xf>
    <xf numFmtId="179" fontId="23" fillId="0" borderId="0" xfId="42" applyNumberFormat="1" applyFont="1" applyFill="1" applyBorder="1" applyAlignment="1">
      <alignment horizontal="center"/>
    </xf>
    <xf numFmtId="43" fontId="22" fillId="0" borderId="0" xfId="64" applyNumberFormat="1" applyFont="1" applyFill="1">
      <alignment/>
      <protection/>
    </xf>
    <xf numFmtId="179" fontId="23" fillId="0" borderId="0" xfId="64" applyNumberFormat="1" applyFont="1" applyFill="1">
      <alignment/>
      <protection/>
    </xf>
    <xf numFmtId="222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64" applyFont="1" applyFill="1" applyBorder="1" applyAlignment="1">
      <alignment horizontal="center"/>
      <protection/>
    </xf>
    <xf numFmtId="0" fontId="21" fillId="0" borderId="11" xfId="64" applyFont="1" applyFill="1" applyBorder="1" applyAlignment="1">
      <alignment horizontal="center"/>
      <protection/>
    </xf>
    <xf numFmtId="0" fontId="21" fillId="0" borderId="10" xfId="64" applyFont="1" applyFill="1" applyBorder="1" applyAlignment="1">
      <alignment horizontal="center"/>
      <protection/>
    </xf>
    <xf numFmtId="0" fontId="21" fillId="0" borderId="12" xfId="64" applyFont="1" applyFill="1" applyBorder="1" applyAlignment="1">
      <alignment horizontal="center"/>
      <protection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2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_10-Interest" xfId="65"/>
    <cellStyle name="Note" xfId="66"/>
    <cellStyle name="numbers" xfId="67"/>
    <cellStyle name="Output" xfId="68"/>
    <cellStyle name="Percent" xfId="69"/>
    <cellStyle name="Percent 2" xfId="70"/>
    <cellStyle name="summary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_bofs20\monetary%20statistics\MONETARY%20STATISTICS\Monetary%20Survey%20New\I.M.F.%20June%202009%20%20(original%20)%20Post%20Safeguards%20Mission%20Revise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lhqstg1\dept\Research\BOFSS\MONETARY%20STATISTICS\Monetary%20Survey%20New\MONETARY%20SURVEY%202015%20new%20reporting%20format\MONETARY%20SURVEY%20DECEMBER%202015%20WITH%20POST%20AUDIT%202014%20ADJUSTMEN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lhqstg2\public\Super%20Research%202\Conso%20Bal%202015\Bal%20MARCH%202015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lhqstg2\public\Super%20Research%202\Conso%20Bal%202015\Bal%20JUNE%202015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lhqstg2\public\Super%20Research%202\Conso%20Bal%202015\Bal%20SEPT%202015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lhqstg1\Research\BOFSS\MONETARY%20STATISTICS\Monetary%20Survey%20New\MONETARY%20SURVEY%202016%20new%20reporting%20format\MONETARY%20SURVEY%20JUNE%202016%20WITH%20POST%20AUDIT%202015%20ADJUSTMEN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lhqstg1\dept\BOFSS\MONETARY%20STATISTICS\Monetary%20Survey%20New\MONETARY%20SURVEY%202016%20new%20reporting%20format\MONETARY%20SURVEY%20JULY%202016%20WITH%20POST%20AUDIT%202015%20ADJUST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_bofs20\monetary%20statistics\MONETARY%20STATISTICS\Monetary%20Survey%20New\I.M.F.December%202009%20%20(original%20)%20Post%20Safeguards%20Miss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_bofs20\monetary%20statistics\MONETARY%20STATISTICS\Monetary%20Survey%20New\I.M.F.%20April%202010%20%20(original%20)%20Post%20Safeguards%20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_bofs20\monetary%20statistics\DOCUME~1\User\LOCALS~1\Temp\Temporary%20Directory%201%20for%20MONETARY%20SURVEY%20Post%20Safeguards%20Mission.zip\MONETARY%20SURVEY%20Post%20Safeguards%20Miss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_bofs20\monetary%20statistics\MONETARY%20STATISTICS\Monetary%20Survey%20New\MONETARY%20SURVEY%20Post%20Safeguards%20Missi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_bofs20\monetary%20statistics\MONETARY%20STATISTICS\BOFSS%20Data%20Request%20IMF%20MISSION%20December%202010\IMF%20DATA%202010\Monetary%20Tables%20%20submitted%20for%20IMF%20march%202011%20miss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lhqstg1\dept\Research\BOFSS\MONETARY%20STATISTICS\Monetary%20Survey%20New\I.M.F.%20May%202015%20(original%20)%20Post%20Safeguards%20Mission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lhqstg1\dept\Research\BOFSS\MONETARY%20STATISTICS\Monetary%20Survey%20New\MONETARY%20SURVEY%202015%20new%20reporting%20format\MONETARY%20SURVEY%20MAY%202015%20WITH%20POST%20AUDIT%202014%20ADJUSTMEN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lhqstg2\public\Super%20Research%202\Conso%20Bal%202014\Bal%20December%202014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ger"/>
      <sheetName val="BSL "/>
      <sheetName val="DMB"/>
      <sheetName val="MS"/>
      <sheetName val="DMB CHECKS"/>
      <sheetName val="BSD2LINK"/>
      <sheetName val="DMB June 2009"/>
      <sheetName val="DMB May 2009"/>
      <sheetName val="DMB April 2009"/>
      <sheetName val="DMB March 2009"/>
      <sheetName val="DMB February 2009 "/>
      <sheetName val="DMB January 2009"/>
      <sheetName val="DMB December 2008"/>
      <sheetName val="DMB November 2008 "/>
      <sheetName val="DMB October 2008"/>
      <sheetName val="DMB September 2008"/>
      <sheetName val="DMB August 2008"/>
      <sheetName val="DMB July 2008"/>
      <sheetName val="DMB June 2008    "/>
      <sheetName val="DMB May 2008   "/>
      <sheetName val="DMB April 2008  "/>
      <sheetName val="DMB March 2008 "/>
      <sheetName val="DMB February 2008 "/>
      <sheetName val="DMB January 2008"/>
      <sheetName val="DMB December 2007   "/>
      <sheetName val="DMB November 2007  "/>
      <sheetName val="DMB October 2007 "/>
      <sheetName val="DMB September 2007"/>
      <sheetName val="DMB August 2007"/>
      <sheetName val="DMB July 2007"/>
      <sheetName val="DMB June 2007  "/>
      <sheetName val="DMB May 2007 "/>
      <sheetName val="DMB APRIL 2007"/>
      <sheetName val="DMB March 2007"/>
      <sheetName val="DMB February 2007"/>
      <sheetName val="DMB January 2007"/>
      <sheetName val="DMB December 2006  "/>
      <sheetName val="DMB November 2006 "/>
      <sheetName val="DMB October 2006"/>
      <sheetName val="DMB September 2006"/>
      <sheetName val="DMB August 2006"/>
      <sheetName val="DMB July 2006"/>
      <sheetName val="DMB June 2006"/>
      <sheetName val="DMB May 2006"/>
      <sheetName val="DMB Apr. 2006 "/>
      <sheetName val="DMB Mar. 2006 "/>
      <sheetName val="DMBFeb. 2006 "/>
      <sheetName val="DMBJan. 2006"/>
      <sheetName val="DMB Dec. 2005"/>
      <sheetName val="DMB Nov. 2005  "/>
      <sheetName val="DMB Oct. 2005 "/>
      <sheetName val="DMB Sept 2005"/>
      <sheetName val="DMB August 2005"/>
      <sheetName val="DMB July 2005   "/>
      <sheetName val="DMB June 2005  "/>
      <sheetName val="DMB May 2005 "/>
      <sheetName val="DMB April 2005"/>
      <sheetName val="DMB March 2005"/>
      <sheetName val="DMB February 2005"/>
      <sheetName val="DMB January 2005"/>
      <sheetName val="DMB December 2004   "/>
      <sheetName val="DMB November 2004  "/>
      <sheetName val="DMB October 2004 "/>
      <sheetName val="DMB September 2004"/>
      <sheetName val="DMB August 2004  "/>
      <sheetName val="DMB JULY 2004 "/>
      <sheetName val="DMB JUNE 2004"/>
      <sheetName val="DMB MAy,2004"/>
      <sheetName val="DMB Apr. 2004    "/>
      <sheetName val="DMB MAR. 2004   "/>
      <sheetName val="DMB FEB. 2004  "/>
      <sheetName val="DMB JAN 2004 "/>
    </sheetNames>
    <sheetDataSet>
      <sheetData sheetId="3">
        <row r="15">
          <cell r="CR15">
            <v>58929.740905</v>
          </cell>
          <cell r="CS15">
            <v>69729.35</v>
          </cell>
          <cell r="CT15">
            <v>76512.25</v>
          </cell>
          <cell r="CU15">
            <v>74147.9</v>
          </cell>
          <cell r="CV15">
            <v>82965.4030671</v>
          </cell>
          <cell r="CW15">
            <v>102836.23000000001</v>
          </cell>
        </row>
        <row r="16">
          <cell r="CR16">
            <v>402343.57615017996</v>
          </cell>
          <cell r="CS16">
            <v>401506.61915017996</v>
          </cell>
          <cell r="CT16">
            <v>409949.13551841</v>
          </cell>
          <cell r="CU16">
            <v>408209.35495532</v>
          </cell>
          <cell r="CV16">
            <v>401272.89506565</v>
          </cell>
          <cell r="CW16">
            <v>402540.63921456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edger"/>
      <sheetName val="BSL"/>
      <sheetName val="DMB"/>
      <sheetName val="MS"/>
      <sheetName val="Bnk Financing Old"/>
      <sheetName val="Bnk Financing New "/>
      <sheetName val="Treasury Bills &amp; Bonds Holdings"/>
      <sheetName val="Interest Rate "/>
      <sheetName val="Module1"/>
    </sheetNames>
    <sheetDataSet>
      <sheetData sheetId="1">
        <row r="1567">
          <cell r="O1567">
            <v>468910.39131472</v>
          </cell>
          <cell r="P1567">
            <v>407747.3822792999</v>
          </cell>
          <cell r="Q1567">
            <v>423498.70863704005</v>
          </cell>
          <cell r="R1567">
            <v>415174.21248273</v>
          </cell>
          <cell r="S1567">
            <v>420728.78981673997</v>
          </cell>
          <cell r="T1567">
            <v>330939.2400876701</v>
          </cell>
        </row>
        <row r="1570">
          <cell r="O1570">
            <v>808.5371147100001</v>
          </cell>
          <cell r="P1570">
            <v>1045.62546351</v>
          </cell>
          <cell r="Q1570">
            <v>3986.42334848</v>
          </cell>
          <cell r="R1570">
            <v>4178.91293181</v>
          </cell>
          <cell r="S1570">
            <v>3746.19418181</v>
          </cell>
          <cell r="T1570">
            <v>839.3774518099999</v>
          </cell>
        </row>
        <row r="1572">
          <cell r="O1572">
            <v>4251.36271249</v>
          </cell>
          <cell r="P1572">
            <v>4701.64046459</v>
          </cell>
          <cell r="Q1572">
            <v>4607.321976210002</v>
          </cell>
          <cell r="R1572">
            <v>5100.93580517</v>
          </cell>
          <cell r="S1572">
            <v>9028.47481571</v>
          </cell>
          <cell r="T1572">
            <v>4817.508956150001</v>
          </cell>
        </row>
        <row r="1575">
          <cell r="O1575">
            <v>1296.10588353</v>
          </cell>
          <cell r="P1575">
            <v>1272.81758017</v>
          </cell>
          <cell r="Q1575">
            <v>1225.17617298</v>
          </cell>
          <cell r="R1575">
            <v>1335.92525456</v>
          </cell>
          <cell r="S1575">
            <v>900.15366548</v>
          </cell>
          <cell r="T1575">
            <v>883.95512472</v>
          </cell>
        </row>
        <row r="1577">
          <cell r="O1577">
            <v>24063.683066739995</v>
          </cell>
          <cell r="P1577">
            <v>24152.580833729997</v>
          </cell>
          <cell r="Q1577">
            <v>22013.9069426</v>
          </cell>
          <cell r="R1577">
            <v>23800.86312289</v>
          </cell>
          <cell r="S1577">
            <v>24950.38471356</v>
          </cell>
          <cell r="T1577">
            <v>26255.751164929996</v>
          </cell>
        </row>
        <row r="1578">
          <cell r="O1578">
            <v>7553.81983415</v>
          </cell>
          <cell r="P1578">
            <v>6169.18563564</v>
          </cell>
          <cell r="Q1578">
            <v>5236.57184315</v>
          </cell>
          <cell r="R1578">
            <v>3451.9949862000003</v>
          </cell>
          <cell r="S1578">
            <v>3121.6682870700006</v>
          </cell>
          <cell r="T1578">
            <v>3351.25164323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alMar2015"/>
      <sheetName val="BalDec2014"/>
      <sheetName val="BalMar2014"/>
      <sheetName val="summarybal"/>
      <sheetName val="LIQ"/>
      <sheetName val="LOCAL"/>
      <sheetName val="BSD3"/>
      <sheetName val="BSD 4A correct version"/>
      <sheetName val="BSD 4 Mar 15"/>
      <sheetName val="CAP"/>
      <sheetName val="netopen"/>
      <sheetName val="SCB"/>
      <sheetName val="RCB"/>
      <sheetName val="SLCB"/>
      <sheetName val="UTB"/>
      <sheetName val="GTB"/>
      <sheetName val="FIB"/>
      <sheetName val="FBN"/>
      <sheetName val="ECO"/>
      <sheetName val="AB"/>
      <sheetName val="UBA"/>
      <sheetName val="SKYE"/>
      <sheetName val="ZEN"/>
      <sheetName val="KSB"/>
      <sheetName val="CONS6"/>
      <sheetName val="NOTES Mar15"/>
      <sheetName val="P&amp;l Mar15"/>
      <sheetName val="EARNINGS Mar15"/>
      <sheetName val="CLASS`Mar15"/>
      <sheetName val="CAMEL RATING"/>
      <sheetName val="Solvency Tables (2)"/>
      <sheetName val="OFFSITE REPO DATA June 12"/>
      <sheetName val="Private Sector loans"/>
      <sheetName val="Chart 3"/>
      <sheetName val="Solvency Tables"/>
      <sheetName val="BSD4mnthly"/>
      <sheetName val="BSD4yearly"/>
      <sheetName val="BSD4 MONTHLY"/>
      <sheetName val="BalSept2011 (2)"/>
      <sheetName val="Chart 2"/>
      <sheetName val="Sheet2"/>
      <sheetName val="Research data"/>
      <sheetName val="SCBNPL"/>
      <sheetName val="SLCBNPL"/>
      <sheetName val="RCBNPL"/>
      <sheetName val="UTBNPL"/>
      <sheetName val="GTBNPL"/>
      <sheetName val="FIBNPL"/>
      <sheetName val="ICBNPL"/>
      <sheetName val="ECONPL"/>
      <sheetName val="ABNPL"/>
      <sheetName val="UBANPL"/>
      <sheetName val="SKYENPL"/>
      <sheetName val="ZENITHNPL"/>
      <sheetName val="KSBNPL"/>
      <sheetName val="CONSNPL"/>
      <sheetName val="ECONPL (2)"/>
      <sheetName val="Sheet3"/>
      <sheetName val="Sheet1"/>
      <sheetName val="GRAPH"/>
      <sheetName val="Sheet4"/>
      <sheetName val="Sheet5"/>
    </sheetNames>
    <sheetDataSet>
      <sheetData sheetId="7">
        <row r="13">
          <cell r="AE13">
            <v>33335632</v>
          </cell>
        </row>
        <row r="15">
          <cell r="AE15">
            <v>59450242</v>
          </cell>
        </row>
        <row r="17">
          <cell r="AE17">
            <v>249138473</v>
          </cell>
        </row>
        <row r="20">
          <cell r="AE20">
            <v>22575991</v>
          </cell>
        </row>
        <row r="22">
          <cell r="AE22">
            <v>262891484</v>
          </cell>
        </row>
        <row r="24">
          <cell r="AE24">
            <v>118497171</v>
          </cell>
        </row>
        <row r="26">
          <cell r="AE26">
            <v>28131387</v>
          </cell>
        </row>
        <row r="28">
          <cell r="AE28">
            <v>22276117</v>
          </cell>
        </row>
        <row r="31">
          <cell r="AE31">
            <v>149612133</v>
          </cell>
        </row>
        <row r="33">
          <cell r="AE33">
            <v>69171747</v>
          </cell>
        </row>
        <row r="38">
          <cell r="AE38">
            <v>123872885</v>
          </cell>
        </row>
        <row r="40">
          <cell r="AE40">
            <v>60300939</v>
          </cell>
        </row>
        <row r="42">
          <cell r="AE42">
            <v>62663708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alJUNE2015"/>
      <sheetName val="BalMAR2015"/>
      <sheetName val="BalJUN2014"/>
      <sheetName val="summarybal"/>
      <sheetName val="LIQ"/>
      <sheetName val="LOCAL"/>
      <sheetName val="BSD3"/>
      <sheetName val="BSD 4 Jun15"/>
      <sheetName val="CAP"/>
      <sheetName val="netopen"/>
      <sheetName val="SCB"/>
      <sheetName val="RCB"/>
      <sheetName val="SLCB"/>
      <sheetName val="UTB"/>
      <sheetName val="GTB"/>
      <sheetName val="FIB"/>
      <sheetName val="FBN"/>
      <sheetName val="ECO"/>
      <sheetName val="AB"/>
      <sheetName val="UBA"/>
      <sheetName val="SKYE"/>
      <sheetName val="ZEN"/>
      <sheetName val="KSB"/>
      <sheetName val="CONS6"/>
      <sheetName val="P&amp;l JUN15"/>
      <sheetName val="NOTES JUN15"/>
      <sheetName val="EARNINGS JUN15"/>
      <sheetName val="CLASS`JUN15"/>
      <sheetName val="CAMEL RATING"/>
      <sheetName val="CONSOLIDATEDNPL"/>
      <sheetName val="Sectoral Adverse Class"/>
      <sheetName val="Solvency Tables (2)"/>
      <sheetName val="OFFSITE REPO DATA June 12"/>
      <sheetName val="Private Sector loans"/>
      <sheetName val="Chart 3"/>
      <sheetName val="Solvency Tables"/>
      <sheetName val="BSD4mnthly"/>
      <sheetName val="BSD4yearly"/>
      <sheetName val="BSD4 MONTHLY"/>
      <sheetName val="BalSept2011 (2)"/>
      <sheetName val="Chart 2"/>
      <sheetName val="Sheet2"/>
      <sheetName val="Research data"/>
      <sheetName val="SCBNPL"/>
      <sheetName val="SLCBNPL"/>
      <sheetName val="UTBNPL"/>
      <sheetName val="GTBNPL"/>
      <sheetName val="FIBNPL"/>
      <sheetName val="ICBNPL"/>
      <sheetName val="ECONPL"/>
      <sheetName val="ABNPL"/>
      <sheetName val="UBANPL"/>
      <sheetName val="SKYENPL"/>
      <sheetName val="ZENITHNPL"/>
      <sheetName val="KSBNPL"/>
      <sheetName val="CONSNPL"/>
      <sheetName val="ECONPL (2)"/>
      <sheetName val="Sheet3"/>
      <sheetName val="Sheet1"/>
      <sheetName val="GRAPH"/>
      <sheetName val="Sheet4"/>
      <sheetName val="Sheet5"/>
      <sheetName val="Sheet6"/>
    </sheetNames>
    <sheetDataSet>
      <sheetData sheetId="7">
        <row r="11">
          <cell r="AF11">
            <v>84096641</v>
          </cell>
        </row>
        <row r="13">
          <cell r="AF13">
            <v>28027531</v>
          </cell>
        </row>
        <row r="15">
          <cell r="AF15">
            <v>54800370</v>
          </cell>
        </row>
        <row r="17">
          <cell r="AF17">
            <v>263520327</v>
          </cell>
        </row>
        <row r="20">
          <cell r="AF20">
            <v>23860593</v>
          </cell>
        </row>
        <row r="22">
          <cell r="AF22">
            <v>226578952</v>
          </cell>
        </row>
        <row r="24">
          <cell r="AF24">
            <v>75985045</v>
          </cell>
        </row>
        <row r="26">
          <cell r="AF26">
            <v>105435919</v>
          </cell>
        </row>
        <row r="28">
          <cell r="AF28">
            <v>55377398</v>
          </cell>
        </row>
        <row r="31">
          <cell r="AF31">
            <v>143353359</v>
          </cell>
        </row>
        <row r="33">
          <cell r="AF33">
            <v>62033351</v>
          </cell>
        </row>
        <row r="38">
          <cell r="AF38">
            <v>73624335</v>
          </cell>
        </row>
        <row r="40">
          <cell r="AF40">
            <v>53374506</v>
          </cell>
        </row>
        <row r="42">
          <cell r="AF42">
            <v>62735700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lSEPT2015"/>
      <sheetName val="BalJUNE2015"/>
      <sheetName val="BalSEPT2014"/>
      <sheetName val="summarybal"/>
      <sheetName val="LIQ"/>
      <sheetName val="LOCAL"/>
      <sheetName val="BSD3"/>
      <sheetName val="BSD 4SEPT15"/>
      <sheetName val="CAP"/>
      <sheetName val="netopen"/>
      <sheetName val="SCB"/>
      <sheetName val="RCB"/>
      <sheetName val="SLCB"/>
      <sheetName val="UTB"/>
      <sheetName val="GTB"/>
      <sheetName val="FIB"/>
      <sheetName val="FBN"/>
      <sheetName val="ECO"/>
      <sheetName val="AB"/>
      <sheetName val="UBA"/>
      <sheetName val="SKYE"/>
      <sheetName val="ZEN"/>
      <sheetName val="KSB"/>
      <sheetName val="CONS6"/>
      <sheetName val="P&amp;l SEPT15"/>
      <sheetName val="NOTES SEPT15"/>
      <sheetName val="EARNINGS SEPT15"/>
      <sheetName val="CLASS`SEPT15"/>
      <sheetName val="CAMEL RATING"/>
      <sheetName val="CONSOLIDATEDNPL"/>
      <sheetName val="Sectoral Adverse Class"/>
      <sheetName val="Solvency Tables (2)"/>
      <sheetName val="OFFSITE REPO DATA June 12"/>
      <sheetName val="Private Sector loans"/>
      <sheetName val="Chart 3"/>
      <sheetName val="Solvency Tables"/>
      <sheetName val="BSD4mnthly"/>
      <sheetName val="BSD4yearly"/>
      <sheetName val="BSD4 MONTHLY"/>
      <sheetName val="BalSept2011 (2)"/>
      <sheetName val="Chart 2"/>
      <sheetName val="Sheet2"/>
      <sheetName val="Research data"/>
      <sheetName val="SCBNPL"/>
      <sheetName val="SLCBNPL"/>
      <sheetName val="UTBNPL"/>
      <sheetName val="GTBNPL"/>
      <sheetName val="FIBNPL"/>
      <sheetName val="ICBNPL"/>
      <sheetName val="ECONPL"/>
      <sheetName val="ABNPL"/>
      <sheetName val="UBANPL"/>
      <sheetName val="SKYENPL"/>
      <sheetName val="ZENITHNPL"/>
      <sheetName val="KSBNPL"/>
      <sheetName val="CONSNPL"/>
      <sheetName val="ECONPL (2)"/>
      <sheetName val="Sheet3"/>
      <sheetName val="Sheet1"/>
      <sheetName val="GRAPH"/>
      <sheetName val="Sheet4"/>
      <sheetName val="Sheet5"/>
    </sheetNames>
    <sheetDataSet>
      <sheetData sheetId="7">
        <row r="11">
          <cell r="AF11">
            <v>82678785</v>
          </cell>
        </row>
        <row r="13">
          <cell r="AF13">
            <v>27294633</v>
          </cell>
        </row>
        <row r="15">
          <cell r="AF15">
            <v>53146695</v>
          </cell>
        </row>
        <row r="17">
          <cell r="AF17">
            <v>272191512</v>
          </cell>
        </row>
        <row r="20">
          <cell r="AF20">
            <v>24516536</v>
          </cell>
        </row>
        <row r="22">
          <cell r="AF22">
            <v>257698222</v>
          </cell>
        </row>
        <row r="24">
          <cell r="AF24">
            <v>144400935</v>
          </cell>
        </row>
        <row r="26">
          <cell r="AF26">
            <v>18689896</v>
          </cell>
        </row>
        <row r="28">
          <cell r="AF28">
            <v>60717394</v>
          </cell>
        </row>
        <row r="31">
          <cell r="AF31">
            <v>147920570</v>
          </cell>
        </row>
        <row r="33">
          <cell r="AF33">
            <v>57955872</v>
          </cell>
        </row>
        <row r="38">
          <cell r="AF38">
            <v>92359759</v>
          </cell>
        </row>
        <row r="40">
          <cell r="AF40">
            <v>61679709</v>
          </cell>
        </row>
        <row r="42">
          <cell r="AF42">
            <v>63306990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edger"/>
      <sheetName val="BSL"/>
      <sheetName val="DMB"/>
      <sheetName val="Bnk Financing Old"/>
      <sheetName val="MS"/>
      <sheetName val="Bnk Financing New "/>
      <sheetName val="Treasury Bills &amp; Bonds Holdings"/>
      <sheetName val="Interest Rate "/>
      <sheetName val="Module1"/>
    </sheetNames>
    <sheetDataSet>
      <sheetData sheetId="1">
        <row r="1544">
          <cell r="W1544">
            <v>436672.66144683</v>
          </cell>
          <cell r="Y1544">
            <v>433883.59492312</v>
          </cell>
          <cell r="AA1544">
            <v>357042.07592475</v>
          </cell>
          <cell r="AC1544">
            <v>366346.08781481994</v>
          </cell>
          <cell r="AE1544">
            <v>401822.40263642994</v>
          </cell>
          <cell r="AF1544">
            <v>407388.5741425601</v>
          </cell>
        </row>
        <row r="1547">
          <cell r="V1547">
            <v>2504.27365181</v>
          </cell>
          <cell r="Y1547">
            <v>3195.4859805799997</v>
          </cell>
          <cell r="AA1547">
            <v>706.56605178</v>
          </cell>
          <cell r="AC1547">
            <v>316.04485178</v>
          </cell>
          <cell r="AE1547">
            <v>116.04485178</v>
          </cell>
          <cell r="AF1547">
            <v>16.04485178</v>
          </cell>
        </row>
        <row r="1549">
          <cell r="W1549">
            <v>4102.7873512999995</v>
          </cell>
          <cell r="Y1549">
            <v>3112.6649305400006</v>
          </cell>
          <cell r="AA1549">
            <v>2499.10214449</v>
          </cell>
          <cell r="AC1549">
            <v>2885.5109236099997</v>
          </cell>
          <cell r="AE1549">
            <v>4259.873596040001</v>
          </cell>
          <cell r="AF1549">
            <v>8287.4354207</v>
          </cell>
        </row>
        <row r="1552">
          <cell r="W1552">
            <v>761.9678888000001</v>
          </cell>
          <cell r="Y1552">
            <v>391.13620005999996</v>
          </cell>
          <cell r="AA1552">
            <v>445.8699638</v>
          </cell>
          <cell r="AC1552">
            <v>265.89047395000006</v>
          </cell>
          <cell r="AE1552">
            <v>389.9285820900001</v>
          </cell>
          <cell r="AF1552">
            <v>431.68915413</v>
          </cell>
        </row>
        <row r="1554">
          <cell r="W1554">
            <v>28842.89107538</v>
          </cell>
          <cell r="Y1554">
            <v>29478.010664200003</v>
          </cell>
          <cell r="AA1554">
            <v>30055.610811759998</v>
          </cell>
          <cell r="AC1554">
            <v>33008.21214174</v>
          </cell>
          <cell r="AE1554">
            <v>32292.67872176</v>
          </cell>
          <cell r="AF1554">
            <v>33888.96738823</v>
          </cell>
        </row>
        <row r="1555">
          <cell r="W1555">
            <v>3542.8193016600007</v>
          </cell>
          <cell r="Y1555">
            <v>6289.59698157</v>
          </cell>
          <cell r="AA1555">
            <v>2769.5368652199995</v>
          </cell>
          <cell r="AC1555">
            <v>2515.5410727400003</v>
          </cell>
          <cell r="AE1555">
            <v>2050.1282324599997</v>
          </cell>
          <cell r="AF1555">
            <v>2891.70139878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edger"/>
      <sheetName val="BSL"/>
      <sheetName val="DMB"/>
      <sheetName val="Bnk Financing Old"/>
      <sheetName val="MS"/>
      <sheetName val="Bnk Financing New "/>
      <sheetName val="Treasury Bills &amp; Bonds Holdings"/>
      <sheetName val="Interest Rate "/>
      <sheetName val="Module1"/>
    </sheetNames>
    <sheetDataSet>
      <sheetData sheetId="4">
        <row r="16">
          <cell r="W16">
            <v>2671005.6313595497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dger"/>
      <sheetName val="BSL "/>
      <sheetName val="DMB"/>
      <sheetName val="MS"/>
      <sheetName val="DMB CHECKS"/>
      <sheetName val="BSD2LINK"/>
      <sheetName val="DMB Dec 2009  "/>
      <sheetName val="DMB Nov 2009 "/>
      <sheetName val="DMB Oct 2009"/>
      <sheetName val="DMB Sept 2009"/>
      <sheetName val="DMB August 2009"/>
      <sheetName val="DMB July 2009"/>
      <sheetName val="DMB June 2009"/>
      <sheetName val="DMB May 2009"/>
      <sheetName val="DMB April 2009"/>
      <sheetName val="DMB March 2009"/>
      <sheetName val="DMB February 2009 "/>
      <sheetName val="DMB January 2009"/>
      <sheetName val="DMB December 2008"/>
      <sheetName val="DMB November 2008 "/>
      <sheetName val="DMB October 2008"/>
      <sheetName val="DMB September 2008"/>
      <sheetName val="DMB August 2008"/>
      <sheetName val="DMB July 2008"/>
      <sheetName val="DMB June 2008    "/>
      <sheetName val="DMB May 2008   "/>
      <sheetName val="DMB April 2008  "/>
      <sheetName val="DMB March 2008 "/>
      <sheetName val="DMB February 2008 "/>
      <sheetName val="DMB January 2008"/>
      <sheetName val="DMB December 2007   "/>
      <sheetName val="DMB November 2007  "/>
      <sheetName val="DMB October 2007 "/>
      <sheetName val="DMB September 2007"/>
      <sheetName val="DMB August 2007"/>
      <sheetName val="DMB July 2007"/>
      <sheetName val="DMB June 2007  "/>
      <sheetName val="DMB May 2007 "/>
      <sheetName val="DMB APRIL 2007"/>
      <sheetName val="DMB March 2007"/>
      <sheetName val="DMB February 2007"/>
      <sheetName val="DMB January 2007"/>
      <sheetName val="DMB December 2006  "/>
      <sheetName val="DMB November 2006 "/>
      <sheetName val="DMB October 2006"/>
      <sheetName val="DMB September 2006"/>
      <sheetName val="DMB August 2006"/>
      <sheetName val="DMB July 2006"/>
      <sheetName val="DMB June 2006"/>
      <sheetName val="DMB May 2006"/>
      <sheetName val="DMB Apr. 2006 "/>
      <sheetName val="DMB Mar. 2006 "/>
      <sheetName val="DMBFeb. 2006 "/>
      <sheetName val="DMBJan. 2006"/>
      <sheetName val="DMB Dec. 2005"/>
      <sheetName val="DMB Nov. 2005  "/>
      <sheetName val="DMB Oct. 2005 "/>
      <sheetName val="DMB Sept 2005"/>
      <sheetName val="DMB August 2005"/>
      <sheetName val="DMB July 2005   "/>
      <sheetName val="DMB June 2005  "/>
      <sheetName val="DMB May 2005 "/>
      <sheetName val="DMB April 2005"/>
      <sheetName val="DMB March 2005"/>
      <sheetName val="DMB February 2005"/>
      <sheetName val="DMB January 2005"/>
      <sheetName val="DMB December 2004   "/>
      <sheetName val="DMB November 2004  "/>
      <sheetName val="DMB October 2004 "/>
      <sheetName val="DMB September 2004"/>
      <sheetName val="DMB August 2004  "/>
      <sheetName val="DMB JULY 2004 "/>
      <sheetName val="DMB JUNE 2004"/>
      <sheetName val="DMB MAy,2004"/>
      <sheetName val="DMB Apr. 2004    "/>
      <sheetName val="DMB MAR. 2004   "/>
      <sheetName val="DMB FEB. 2004  "/>
      <sheetName val="DMB JAN 2004 "/>
    </sheetNames>
    <sheetDataSet>
      <sheetData sheetId="3">
        <row r="8">
          <cell r="DA8">
            <v>1256224.1810378814</v>
          </cell>
          <cell r="DB8">
            <v>1274080.8299922184</v>
          </cell>
          <cell r="DC8">
            <v>1309593.4841775806</v>
          </cell>
        </row>
        <row r="9">
          <cell r="DA9">
            <v>485125.573837768</v>
          </cell>
          <cell r="DB9">
            <v>541853.3729721499</v>
          </cell>
          <cell r="DC9">
            <v>542263.406465488</v>
          </cell>
        </row>
        <row r="10">
          <cell r="DA10">
            <v>-302015.18081382604</v>
          </cell>
          <cell r="DB10">
            <v>-316393.76213447284</v>
          </cell>
          <cell r="DC10">
            <v>-304309.109191562</v>
          </cell>
        </row>
        <row r="11">
          <cell r="DA11">
            <v>-3989.8352194000004</v>
          </cell>
          <cell r="DB11">
            <v>-3908.27</v>
          </cell>
          <cell r="DC11">
            <v>-5789.225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edger"/>
      <sheetName val="BSL "/>
      <sheetName val="DMB"/>
      <sheetName val="MS"/>
      <sheetName val="DMB CHECKS"/>
      <sheetName val="BSD2LINK"/>
      <sheetName val="DMB APR 2010"/>
      <sheetName val="DMB MAR 2010"/>
      <sheetName val="DMB FEB 2010"/>
      <sheetName val="DMB Jan 2010"/>
      <sheetName val="DMB Dec 2009  "/>
      <sheetName val="DMB Nov 2009 "/>
      <sheetName val="DMB Oct 2009"/>
      <sheetName val="DMB Sept 2009"/>
      <sheetName val="DMB August 2009"/>
      <sheetName val="DMB July 2009"/>
      <sheetName val="DMB June 2009"/>
      <sheetName val="DMB May 2009"/>
      <sheetName val="DMB April 2009"/>
      <sheetName val="DMB March 2009"/>
      <sheetName val="DMB February 2009 "/>
      <sheetName val="DMB January 2009"/>
      <sheetName val="DMB December 2008"/>
      <sheetName val="DMB November 2008 "/>
      <sheetName val="DMB October 2008"/>
      <sheetName val="DMB September 2008"/>
      <sheetName val="DMB August 2008"/>
      <sheetName val="DMB July 2008"/>
      <sheetName val="DMB June 2008    "/>
      <sheetName val="DMB May 2008   "/>
      <sheetName val="DMB April 2008  "/>
      <sheetName val="DMB March 2008 "/>
      <sheetName val="DMB February 2008 "/>
      <sheetName val="DMB January 2008"/>
      <sheetName val="DMB November 2004  "/>
      <sheetName val="DMB October 2004 "/>
      <sheetName val="DMB September 2004"/>
      <sheetName val="DMB August 2004  "/>
      <sheetName val="DMB JULY 2004 "/>
      <sheetName val="DMB JUNE 2004"/>
      <sheetName val="DMB MAy,2004"/>
      <sheetName val="DMB Apr. 2004    "/>
      <sheetName val="DMB MAR. 2004   "/>
      <sheetName val="DMB FEB. 2004  "/>
      <sheetName val="DMB JAN 2004 "/>
    </sheetNames>
    <sheetDataSet>
      <sheetData sheetId="1">
        <row r="1318">
          <cell r="CX1318">
            <v>99005.62238378999</v>
          </cell>
          <cell r="CY1318">
            <v>58246.00871579</v>
          </cell>
          <cell r="CZ1318">
            <v>109770.84871578998</v>
          </cell>
          <cell r="DA1318">
            <v>148486.61461559</v>
          </cell>
          <cell r="DB1318">
            <v>218526.16871578997</v>
          </cell>
          <cell r="DC1318">
            <v>189152.56551301002</v>
          </cell>
          <cell r="DD1318">
            <v>186521.24151301</v>
          </cell>
          <cell r="DE1318">
            <v>186233.61551301</v>
          </cell>
          <cell r="DF1318">
            <v>188202.22610278998</v>
          </cell>
        </row>
      </sheetData>
      <sheetData sheetId="2">
        <row r="17">
          <cell r="CX17">
            <v>406051.04622966</v>
          </cell>
          <cell r="CY17">
            <v>434283.62209648</v>
          </cell>
          <cell r="CZ17">
            <v>433242.67812456</v>
          </cell>
          <cell r="DA17">
            <v>421281.15056385007</v>
          </cell>
          <cell r="DB17">
            <v>391509.1644333</v>
          </cell>
          <cell r="DC17">
            <v>360770.54667938</v>
          </cell>
          <cell r="DD17">
            <v>355701.02070836996</v>
          </cell>
          <cell r="DE17">
            <v>349436.33792336995</v>
          </cell>
          <cell r="DF17">
            <v>346263.58964626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edger"/>
      <sheetName val="BSL"/>
      <sheetName val="DMB"/>
      <sheetName val="MS"/>
      <sheetName val="Bnk Financing New"/>
      <sheetName val="Treasury Bills &amp; Bonds Holdings"/>
      <sheetName val="Module1"/>
    </sheetNames>
    <sheetDataSet>
      <sheetData sheetId="1">
        <row r="1348">
          <cell r="DK1348">
            <v>255652.27833092</v>
          </cell>
          <cell r="DL1348">
            <v>288160.02390653995</v>
          </cell>
        </row>
      </sheetData>
      <sheetData sheetId="5">
        <row r="8">
          <cell r="AR8">
            <v>16805.65</v>
          </cell>
          <cell r="AS8">
            <v>16805.65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edger"/>
      <sheetName val="BSL"/>
      <sheetName val="DMB"/>
      <sheetName val="MS"/>
      <sheetName val="Bnk Financing New"/>
      <sheetName val="Treasury Bills &amp; Bonds Holdings"/>
      <sheetName val="Module1"/>
      <sheetName val="Bnk Financing Old"/>
      <sheetName val="coverted NNIB rev."/>
      <sheetName val="Bnk Financing New incl 5yr bond"/>
      <sheetName val="NNNIB Distribution"/>
    </sheetNames>
    <sheetDataSet>
      <sheetData sheetId="2">
        <row r="17">
          <cell r="DQ17">
            <v>466522.7448723699</v>
          </cell>
          <cell r="DR17">
            <v>462833.38528262003</v>
          </cell>
          <cell r="DS17">
            <v>476372.0370029001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S"/>
      <sheetName val="BSL"/>
      <sheetName val="DMB"/>
      <sheetName val="IMFMonetary Survey 1"/>
      <sheetName val="table 2"/>
      <sheetName val="IMFLiquidity Ratios Actual 3"/>
      <sheetName val="IMFLiquidity Ratios 23A"/>
      <sheetName val="Treasury Bills &amp; Bonds Holding "/>
      <sheetName val="loans"/>
      <sheetName val="int rates"/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Ledger"/>
      <sheetName val="BSL "/>
      <sheetName val="DMB"/>
      <sheetName val="MS"/>
      <sheetName val="BSD2LINK"/>
      <sheetName val="DMB May 2015"/>
      <sheetName val="DMB April 2015"/>
      <sheetName val="DMB March 2015"/>
      <sheetName val="DMB February 2015"/>
      <sheetName val="DMB January 2015"/>
      <sheetName val="DMB December 2014"/>
      <sheetName val="DMB November 2014"/>
      <sheetName val="DMB October 2014 "/>
      <sheetName val="DMB September 2014"/>
      <sheetName val="DMB August 2014"/>
      <sheetName val="DMB July 2014"/>
      <sheetName val="DMB June. 2014  "/>
      <sheetName val="DMB May. 2014 "/>
      <sheetName val="DMB APR. 2014  "/>
      <sheetName val="DMB Mar. 2014 "/>
      <sheetName val="DMB Feb. 2014 "/>
      <sheetName val="DMB Jan. 2014 "/>
      <sheetName val="DMB DEC. 2013"/>
      <sheetName val="DMB NOV. 2013  "/>
      <sheetName val="DMB OCT. 2013 "/>
      <sheetName val="DMB Sept. 2013"/>
      <sheetName val="DMB Aug. 2013    "/>
      <sheetName val="DMB July. 2013   "/>
      <sheetName val="DMB June. 2013  "/>
      <sheetName val="DMB May. 2013 "/>
      <sheetName val="DMB April. 2013"/>
      <sheetName val="DMB Mar. 2013"/>
      <sheetName val="DMB Feb. 2013 "/>
      <sheetName val="DMB Jan. 2013"/>
      <sheetName val="DMB Dec. 2012"/>
      <sheetName val="DMB Nov. 2012  "/>
      <sheetName val="DMB Oct  2012  "/>
      <sheetName val="DMB Sep 2012 "/>
      <sheetName val="DMB Aug 2012 "/>
      <sheetName val="DMB Jul 2012"/>
      <sheetName val="DMB Jun 2012 "/>
      <sheetName val="DMB May 2012"/>
      <sheetName val="DMB April 2012"/>
      <sheetName val="DMB Mar 2012  "/>
      <sheetName val="DMB Feb 2012 "/>
      <sheetName val="DMB Jan 2012"/>
      <sheetName val="DMB Dec  2011  "/>
      <sheetName val="DMB Nov 2011 "/>
      <sheetName val="DMB Oct 2011"/>
      <sheetName val="DMB Sep 2011 "/>
      <sheetName val="DMB Aug 2011"/>
      <sheetName val="DMB July 2011"/>
      <sheetName val="DMB June 2011"/>
      <sheetName val="DMB May 2011"/>
      <sheetName val="DMB April 2011"/>
      <sheetName val="DMB March 2011"/>
      <sheetName val="DMB February 2011"/>
      <sheetName val="DMB January 2011"/>
      <sheetName val="DMB December 2010 "/>
      <sheetName val="Sheet2"/>
      <sheetName val="Sheet1"/>
    </sheetNames>
    <sheetDataSet>
      <sheetData sheetId="2">
        <row r="1479">
          <cell r="GQ1479">
            <v>525340.25</v>
          </cell>
          <cell r="GS1479">
            <v>520558.8499999999</v>
          </cell>
          <cell r="GT1479">
            <v>518808.8499999999</v>
          </cell>
        </row>
        <row r="1480">
          <cell r="GQ1480">
            <v>273811.49095979996</v>
          </cell>
          <cell r="GS1480">
            <v>273811.49095979996</v>
          </cell>
          <cell r="GT1480">
            <v>273811.49095979996</v>
          </cell>
        </row>
        <row r="1481">
          <cell r="GQ1481">
            <v>156342.175076</v>
          </cell>
          <cell r="GS1481">
            <v>156342.175076</v>
          </cell>
          <cell r="GT1481">
            <v>156342.175076</v>
          </cell>
        </row>
        <row r="1482">
          <cell r="GQ1482">
            <v>6188.5090402</v>
          </cell>
          <cell r="GS1482">
            <v>6188.5090402</v>
          </cell>
          <cell r="GT1482">
            <v>6188.5090402</v>
          </cell>
        </row>
        <row r="1483">
          <cell r="GQ1483">
            <v>2975.224924</v>
          </cell>
          <cell r="GS1483">
            <v>2975.224924</v>
          </cell>
          <cell r="GT1483">
            <v>2975.224924</v>
          </cell>
        </row>
        <row r="1484">
          <cell r="GQ1484">
            <v>75000</v>
          </cell>
          <cell r="GS1484">
            <v>71250</v>
          </cell>
          <cell r="GT1484">
            <v>71250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edger"/>
      <sheetName val="BSL"/>
      <sheetName val="DMB"/>
      <sheetName val="MS"/>
      <sheetName val="Bnk Financing Old"/>
      <sheetName val="Bnk Financing New "/>
      <sheetName val="Treasury Bills &amp; Bonds Holdings"/>
      <sheetName val="Interest Rate "/>
      <sheetName val="Module1"/>
    </sheetNames>
    <sheetDataSet>
      <sheetData sheetId="1">
        <row r="1549">
          <cell r="F1549">
            <v>327909.93737079</v>
          </cell>
          <cell r="H1549">
            <v>298294.65961938</v>
          </cell>
          <cell r="J1549">
            <v>286380.9977431301</v>
          </cell>
          <cell r="L1549">
            <v>349995.67261531006</v>
          </cell>
          <cell r="M1549">
            <v>403517.39067186</v>
          </cell>
        </row>
        <row r="1552">
          <cell r="F1552">
            <v>5307.16300107</v>
          </cell>
          <cell r="H1552">
            <v>5657.265821370001</v>
          </cell>
          <cell r="J1552">
            <v>6715.119857060001</v>
          </cell>
          <cell r="L1552">
            <v>5628.926823820002</v>
          </cell>
          <cell r="M1552">
            <v>5672.042008050001</v>
          </cell>
        </row>
        <row r="1555">
          <cell r="F1555">
            <v>3780.527885</v>
          </cell>
          <cell r="H1555">
            <v>2110.4895537400002</v>
          </cell>
          <cell r="J1555">
            <v>1415.75147311</v>
          </cell>
          <cell r="L1555">
            <v>1138.02096833</v>
          </cell>
          <cell r="M1555">
            <v>1171.2474573599998</v>
          </cell>
        </row>
        <row r="1557">
          <cell r="F1557">
            <v>25654.47166724</v>
          </cell>
          <cell r="H1557">
            <v>16924.816808860003</v>
          </cell>
          <cell r="J1557">
            <v>18033.557540779995</v>
          </cell>
          <cell r="L1557">
            <v>19778.679265739996</v>
          </cell>
          <cell r="M1557">
            <v>20789.703645420002</v>
          </cell>
        </row>
        <row r="1558">
          <cell r="F1558">
            <v>3441.2502308800003</v>
          </cell>
          <cell r="H1558">
            <v>2841.2092623500002</v>
          </cell>
          <cell r="J1558">
            <v>7140.11253096</v>
          </cell>
          <cell r="L1558">
            <v>8549.90448738</v>
          </cell>
          <cell r="M1558">
            <v>5810.76327739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lDEC2014"/>
      <sheetName val="BalSEPT2014"/>
      <sheetName val="BalDec2013"/>
      <sheetName val="summarybal"/>
      <sheetName val="LIQ"/>
      <sheetName val="LOCAL"/>
      <sheetName val="BSD3"/>
      <sheetName val="Sectoral Advances"/>
      <sheetName val="BSD 4 SEPT ADJUST"/>
      <sheetName val="CAP"/>
      <sheetName val="netopen"/>
      <sheetName val="SCB"/>
      <sheetName val="RCB"/>
      <sheetName val="SLCB"/>
      <sheetName val="UTB"/>
      <sheetName val="GTB"/>
      <sheetName val="FIB"/>
      <sheetName val="FBN"/>
      <sheetName val="ECO"/>
      <sheetName val="AB"/>
      <sheetName val="UBA"/>
      <sheetName val="SKYE"/>
      <sheetName val="ZEN"/>
      <sheetName val="KSB"/>
      <sheetName val="CONS6"/>
      <sheetName val="NOTES DEC14"/>
      <sheetName val="P&amp;l DEC14"/>
      <sheetName val="EARNINGS DEC14"/>
      <sheetName val="CLASS`DEC14"/>
      <sheetName val="Sectoral Adverse Class"/>
      <sheetName val="Solvency Tables (2)"/>
      <sheetName val="OFFSITE REPO DATA June 12"/>
      <sheetName val="Private Sector loans"/>
      <sheetName val="Chart 3"/>
      <sheetName val="Solvency Tables"/>
      <sheetName val="BSD4mnthly"/>
      <sheetName val="BSD4yearly"/>
      <sheetName val="BSD4 MONTHLY"/>
      <sheetName val="BalSept2011 (2)"/>
      <sheetName val="Chart 2"/>
      <sheetName val="Sheet2"/>
      <sheetName val="Research data"/>
      <sheetName val="SCBNPL"/>
      <sheetName val="SLCBNPL"/>
      <sheetName val="RCBNPL"/>
      <sheetName val="UTBNPL"/>
      <sheetName val="GTBNPL"/>
      <sheetName val="FIBNPL"/>
      <sheetName val="ICBNPL"/>
      <sheetName val="ECONPL"/>
      <sheetName val="ABNPL"/>
      <sheetName val="UBANPL"/>
      <sheetName val="SKYENPL"/>
      <sheetName val="ZENITHNPL"/>
      <sheetName val="KSBNPL"/>
      <sheetName val="CONSNPL"/>
      <sheetName val="ECONPL (2)"/>
      <sheetName val="Sheet3"/>
      <sheetName val="Sheet1"/>
      <sheetName val="Sheet4"/>
    </sheetNames>
    <sheetDataSet>
      <sheetData sheetId="7">
        <row r="33">
          <cell r="AE33">
            <v>69171747</v>
          </cell>
        </row>
        <row r="38">
          <cell r="AE38">
            <v>123872885</v>
          </cell>
        </row>
        <row r="40">
          <cell r="AE40">
            <v>60300939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3"/>
  <sheetViews>
    <sheetView tabSelected="1" zoomScaleSheetLayoutView="75" workbookViewId="0" topLeftCell="A1">
      <pane xSplit="1" ySplit="7" topLeftCell="H21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R268" sqref="R268"/>
    </sheetView>
  </sheetViews>
  <sheetFormatPr defaultColWidth="9.33203125" defaultRowHeight="12.75"/>
  <cols>
    <col min="1" max="1" width="13.83203125" style="109" customWidth="1"/>
    <col min="2" max="2" width="13.33203125" style="104" customWidth="1"/>
    <col min="3" max="3" width="17.33203125" style="109" bestFit="1" customWidth="1"/>
    <col min="4" max="4" width="18.33203125" style="109" bestFit="1" customWidth="1"/>
    <col min="5" max="5" width="13.83203125" style="104" customWidth="1"/>
    <col min="6" max="6" width="22" style="104" bestFit="1" customWidth="1"/>
    <col min="7" max="7" width="14.16015625" style="128" customWidth="1"/>
    <col min="8" max="8" width="15" style="128" customWidth="1"/>
    <col min="9" max="9" width="10.83203125" style="128" customWidth="1"/>
    <col min="10" max="10" width="13" style="128" customWidth="1"/>
    <col min="11" max="11" width="21.83203125" style="128" customWidth="1"/>
    <col min="12" max="12" width="14.33203125" style="128" customWidth="1"/>
    <col min="13" max="13" width="15.16015625" style="128" bestFit="1" customWidth="1"/>
    <col min="14" max="14" width="14.33203125" style="128" customWidth="1"/>
    <col min="15" max="15" width="11.66015625" style="128" customWidth="1"/>
    <col min="16" max="16" width="15.16015625" style="128" customWidth="1"/>
    <col min="17" max="17" width="14.66015625" style="128" bestFit="1" customWidth="1"/>
    <col min="18" max="18" width="13.5" style="128" customWidth="1"/>
    <col min="19" max="19" width="13.66015625" style="109" customWidth="1"/>
    <col min="20" max="20" width="14" style="104" customWidth="1"/>
    <col min="21" max="16384" width="9.33203125" style="104" customWidth="1"/>
  </cols>
  <sheetData>
    <row r="1" spans="1:20" ht="20.25">
      <c r="A1" s="345" t="s">
        <v>118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T1" s="110"/>
    </row>
    <row r="2" spans="1:19" s="112" customFormat="1" ht="18.75">
      <c r="A2" s="346" t="s">
        <v>0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111"/>
    </row>
    <row r="3" spans="1:20" ht="16.5" thickBot="1">
      <c r="A3" s="5"/>
      <c r="B3" s="1"/>
      <c r="C3" s="5"/>
      <c r="D3" s="5"/>
      <c r="E3" s="1"/>
      <c r="F3" s="1"/>
      <c r="G3" s="304"/>
      <c r="H3" s="304"/>
      <c r="I3" s="304"/>
      <c r="J3" s="304"/>
      <c r="K3" s="304"/>
      <c r="L3" s="304"/>
      <c r="M3" s="304"/>
      <c r="N3" s="304"/>
      <c r="O3" s="305"/>
      <c r="P3" s="304"/>
      <c r="Q3" s="304"/>
      <c r="R3" s="304"/>
      <c r="S3" s="5"/>
      <c r="T3" s="112"/>
    </row>
    <row r="4" spans="1:20" ht="16.5" thickBot="1">
      <c r="A4" s="5"/>
      <c r="B4" s="113" t="s">
        <v>1</v>
      </c>
      <c r="C4" s="82"/>
      <c r="D4" s="321"/>
      <c r="E4" s="347" t="s">
        <v>255</v>
      </c>
      <c r="F4" s="348"/>
      <c r="G4" s="348"/>
      <c r="H4" s="348"/>
      <c r="I4" s="348"/>
      <c r="J4" s="349"/>
      <c r="K4" s="306" t="s">
        <v>142</v>
      </c>
      <c r="L4" s="307"/>
      <c r="M4" s="308"/>
      <c r="N4" s="309"/>
      <c r="O4" s="308"/>
      <c r="P4" s="310"/>
      <c r="Q4" s="305"/>
      <c r="R4" s="308"/>
      <c r="S4" s="41"/>
      <c r="T4" s="112"/>
    </row>
    <row r="5" spans="1:20" ht="12.75">
      <c r="A5" s="6" t="s">
        <v>2</v>
      </c>
      <c r="B5" s="114" t="s">
        <v>3</v>
      </c>
      <c r="C5" s="115" t="s">
        <v>218</v>
      </c>
      <c r="D5" s="116" t="s">
        <v>219</v>
      </c>
      <c r="E5" s="117" t="s">
        <v>3</v>
      </c>
      <c r="F5" s="115" t="s">
        <v>248</v>
      </c>
      <c r="G5" s="311" t="s">
        <v>5</v>
      </c>
      <c r="H5" s="311" t="s">
        <v>4</v>
      </c>
      <c r="I5" s="311" t="s">
        <v>5</v>
      </c>
      <c r="J5" s="312" t="s">
        <v>4</v>
      </c>
      <c r="K5" s="313" t="s">
        <v>160</v>
      </c>
      <c r="L5" s="56" t="s">
        <v>6</v>
      </c>
      <c r="M5" s="313" t="s">
        <v>7</v>
      </c>
      <c r="N5" s="56" t="s">
        <v>6</v>
      </c>
      <c r="O5" s="313" t="s">
        <v>8</v>
      </c>
      <c r="P5" s="314" t="s">
        <v>9</v>
      </c>
      <c r="Q5" s="56" t="s">
        <v>10</v>
      </c>
      <c r="R5" s="313" t="s">
        <v>11</v>
      </c>
      <c r="S5" s="6" t="s">
        <v>2</v>
      </c>
      <c r="T5" s="112"/>
    </row>
    <row r="6" spans="1:20" ht="13.5" thickBot="1">
      <c r="A6" s="53" t="s">
        <v>12</v>
      </c>
      <c r="B6" s="118"/>
      <c r="C6" s="121" t="s">
        <v>113</v>
      </c>
      <c r="D6" s="119" t="s">
        <v>13</v>
      </c>
      <c r="E6" s="120"/>
      <c r="F6" s="121" t="s">
        <v>249</v>
      </c>
      <c r="G6" s="315" t="s">
        <v>137</v>
      </c>
      <c r="H6" s="315" t="s">
        <v>14</v>
      </c>
      <c r="I6" s="315" t="s">
        <v>15</v>
      </c>
      <c r="J6" s="290" t="s">
        <v>16</v>
      </c>
      <c r="K6" s="316" t="s">
        <v>161</v>
      </c>
      <c r="L6" s="290" t="s">
        <v>17</v>
      </c>
      <c r="M6" s="317" t="s">
        <v>6</v>
      </c>
      <c r="N6" s="290" t="s">
        <v>136</v>
      </c>
      <c r="O6" s="317" t="s">
        <v>18</v>
      </c>
      <c r="P6" s="318" t="s">
        <v>19</v>
      </c>
      <c r="Q6" s="290" t="s">
        <v>20</v>
      </c>
      <c r="R6" s="317" t="s">
        <v>21</v>
      </c>
      <c r="S6" s="53" t="s">
        <v>12</v>
      </c>
      <c r="T6" s="112"/>
    </row>
    <row r="7" spans="1:20" ht="13.5" thickBot="1">
      <c r="A7" s="82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290">
        <v>7</v>
      </c>
      <c r="H7" s="290">
        <v>8</v>
      </c>
      <c r="I7" s="290">
        <v>9</v>
      </c>
      <c r="J7" s="290">
        <v>10</v>
      </c>
      <c r="K7" s="290">
        <v>11</v>
      </c>
      <c r="L7" s="290">
        <v>12</v>
      </c>
      <c r="M7" s="290">
        <v>13</v>
      </c>
      <c r="N7" s="290">
        <v>14</v>
      </c>
      <c r="O7" s="290">
        <v>15</v>
      </c>
      <c r="P7" s="290">
        <v>16</v>
      </c>
      <c r="Q7" s="290">
        <v>17</v>
      </c>
      <c r="R7" s="290">
        <v>18</v>
      </c>
      <c r="S7" s="43">
        <v>19</v>
      </c>
      <c r="T7" s="112"/>
    </row>
    <row r="8" spans="1:20" ht="12.75">
      <c r="A8" s="111"/>
      <c r="I8" s="140"/>
      <c r="S8" s="111"/>
      <c r="T8" s="112"/>
    </row>
    <row r="9" spans="1:20" ht="12.75" hidden="1">
      <c r="A9" s="122">
        <v>1996</v>
      </c>
      <c r="B9" s="123">
        <v>-159031</v>
      </c>
      <c r="C9" s="123">
        <v>-177110</v>
      </c>
      <c r="D9" s="123">
        <v>18079</v>
      </c>
      <c r="E9" s="123">
        <v>452597</v>
      </c>
      <c r="F9" s="123">
        <v>429695</v>
      </c>
      <c r="G9" s="154">
        <v>233</v>
      </c>
      <c r="H9" s="154">
        <v>21736</v>
      </c>
      <c r="I9" s="154" t="s">
        <v>22</v>
      </c>
      <c r="J9" s="154">
        <v>900</v>
      </c>
      <c r="K9" s="154"/>
      <c r="L9" s="154">
        <v>53208</v>
      </c>
      <c r="M9" s="154">
        <v>32856</v>
      </c>
      <c r="N9" s="154">
        <f>L9+M9</f>
        <v>86064</v>
      </c>
      <c r="O9" s="154">
        <v>3</v>
      </c>
      <c r="P9" s="154">
        <v>19421</v>
      </c>
      <c r="Q9" s="154">
        <v>210750</v>
      </c>
      <c r="R9" s="154">
        <v>-22672</v>
      </c>
      <c r="S9" s="122">
        <v>1996</v>
      </c>
      <c r="T9" s="112"/>
    </row>
    <row r="10" spans="1:20" ht="12.75" hidden="1">
      <c r="A10" s="122">
        <v>1997</v>
      </c>
      <c r="B10" s="123">
        <v>-169579</v>
      </c>
      <c r="C10" s="123">
        <v>-190431</v>
      </c>
      <c r="D10" s="123">
        <v>20852</v>
      </c>
      <c r="E10" s="123">
        <v>501858</v>
      </c>
      <c r="F10" s="123">
        <v>473524</v>
      </c>
      <c r="G10" s="154">
        <v>538</v>
      </c>
      <c r="H10" s="154">
        <v>27083</v>
      </c>
      <c r="I10" s="154" t="s">
        <v>23</v>
      </c>
      <c r="J10" s="154">
        <v>679</v>
      </c>
      <c r="K10" s="154"/>
      <c r="L10" s="154">
        <v>83612</v>
      </c>
      <c r="M10" s="154">
        <v>43022</v>
      </c>
      <c r="N10" s="154">
        <f aca="true" t="shared" si="0" ref="N10:N74">L10+M10</f>
        <v>126634</v>
      </c>
      <c r="O10" s="154">
        <v>213</v>
      </c>
      <c r="P10" s="154">
        <v>22120</v>
      </c>
      <c r="Q10" s="154">
        <v>246723</v>
      </c>
      <c r="R10" s="154">
        <v>-63365</v>
      </c>
      <c r="S10" s="122">
        <v>1997</v>
      </c>
      <c r="T10" s="112"/>
    </row>
    <row r="11" spans="1:20" ht="12.75" hidden="1">
      <c r="A11" s="122">
        <v>1998</v>
      </c>
      <c r="B11" s="123">
        <v>-220423</v>
      </c>
      <c r="C11" s="123">
        <v>-250978</v>
      </c>
      <c r="D11" s="123">
        <v>30555</v>
      </c>
      <c r="E11" s="123">
        <f>F11+G11+H11+J11</f>
        <v>537572</v>
      </c>
      <c r="F11" s="123">
        <v>506752</v>
      </c>
      <c r="G11" s="154">
        <v>76</v>
      </c>
      <c r="H11" s="154">
        <v>28644</v>
      </c>
      <c r="I11" s="154" t="s">
        <v>24</v>
      </c>
      <c r="J11" s="154">
        <v>2100</v>
      </c>
      <c r="K11" s="154"/>
      <c r="L11" s="154">
        <v>89744</v>
      </c>
      <c r="M11" s="154">
        <v>51155</v>
      </c>
      <c r="N11" s="154">
        <f t="shared" si="0"/>
        <v>140899</v>
      </c>
      <c r="O11" s="154">
        <v>24</v>
      </c>
      <c r="P11" s="154">
        <v>31180</v>
      </c>
      <c r="Q11" s="154">
        <v>176471</v>
      </c>
      <c r="R11" s="154">
        <v>-31425</v>
      </c>
      <c r="S11" s="122">
        <v>1998</v>
      </c>
      <c r="T11" s="112"/>
    </row>
    <row r="12" spans="1:20" ht="12.75" hidden="1">
      <c r="A12" s="122">
        <v>1999</v>
      </c>
      <c r="B12" s="123">
        <v>-322213</v>
      </c>
      <c r="C12" s="123">
        <v>-363065</v>
      </c>
      <c r="D12" s="123">
        <v>40852</v>
      </c>
      <c r="E12" s="123">
        <f>F12+G12+H12+J12</f>
        <v>604809</v>
      </c>
      <c r="F12" s="123">
        <v>577463</v>
      </c>
      <c r="G12" s="154">
        <v>134</v>
      </c>
      <c r="H12" s="154">
        <v>25022</v>
      </c>
      <c r="I12" s="154">
        <v>4</v>
      </c>
      <c r="J12" s="154">
        <v>2190</v>
      </c>
      <c r="K12" s="154"/>
      <c r="L12" s="154">
        <v>134078</v>
      </c>
      <c r="M12" s="154">
        <v>60080</v>
      </c>
      <c r="N12" s="154">
        <f t="shared" si="0"/>
        <v>194158</v>
      </c>
      <c r="O12" s="154">
        <v>34</v>
      </c>
      <c r="P12" s="154">
        <v>44973</v>
      </c>
      <c r="Q12" s="154">
        <v>191049</v>
      </c>
      <c r="R12" s="154">
        <v>-147615</v>
      </c>
      <c r="S12" s="122">
        <v>1999</v>
      </c>
      <c r="T12" s="112"/>
    </row>
    <row r="13" spans="1:20" ht="12.75" hidden="1">
      <c r="A13" s="6">
        <v>2000</v>
      </c>
      <c r="B13" s="123">
        <v>-178831</v>
      </c>
      <c r="C13" s="123">
        <v>-219442</v>
      </c>
      <c r="D13" s="123">
        <v>40611</v>
      </c>
      <c r="E13" s="123">
        <f>F13+G13+H13+J13</f>
        <v>725153</v>
      </c>
      <c r="F13" s="123">
        <v>684819</v>
      </c>
      <c r="G13" s="154">
        <v>635</v>
      </c>
      <c r="H13" s="154">
        <v>28043</v>
      </c>
      <c r="I13" s="154">
        <v>0</v>
      </c>
      <c r="J13" s="154">
        <v>11656</v>
      </c>
      <c r="K13" s="154"/>
      <c r="L13" s="154">
        <v>139956</v>
      </c>
      <c r="M13" s="154">
        <v>77649</v>
      </c>
      <c r="N13" s="154">
        <f t="shared" si="0"/>
        <v>217605</v>
      </c>
      <c r="O13" s="154">
        <v>54</v>
      </c>
      <c r="P13" s="154">
        <v>32536</v>
      </c>
      <c r="Q13" s="154">
        <v>271371</v>
      </c>
      <c r="R13" s="154">
        <v>23414</v>
      </c>
      <c r="S13" s="6">
        <v>2000</v>
      </c>
      <c r="T13" s="112"/>
    </row>
    <row r="14" spans="1:20" ht="12.75" hidden="1">
      <c r="A14" s="122">
        <v>2001</v>
      </c>
      <c r="B14" s="123">
        <v>-202278</v>
      </c>
      <c r="C14" s="123">
        <v>-249573</v>
      </c>
      <c r="D14" s="123">
        <v>47295</v>
      </c>
      <c r="E14" s="123">
        <f>F14+G14+H14+J14</f>
        <v>774627</v>
      </c>
      <c r="F14" s="123">
        <v>727016</v>
      </c>
      <c r="G14" s="154">
        <v>499</v>
      </c>
      <c r="H14" s="154">
        <v>34943</v>
      </c>
      <c r="I14" s="154">
        <v>0</v>
      </c>
      <c r="J14" s="154">
        <v>12169</v>
      </c>
      <c r="K14" s="154"/>
      <c r="L14" s="154">
        <v>189437</v>
      </c>
      <c r="M14" s="154">
        <v>101427</v>
      </c>
      <c r="N14" s="154">
        <f t="shared" si="0"/>
        <v>290864</v>
      </c>
      <c r="O14" s="154">
        <v>31</v>
      </c>
      <c r="P14" s="154">
        <v>43533</v>
      </c>
      <c r="Q14" s="154">
        <v>322443</v>
      </c>
      <c r="R14" s="154">
        <v>-87251</v>
      </c>
      <c r="S14" s="122">
        <v>2001</v>
      </c>
      <c r="T14" s="112"/>
    </row>
    <row r="15" spans="1:20" ht="12.75" hidden="1">
      <c r="A15" s="6">
        <v>2002</v>
      </c>
      <c r="B15" s="123">
        <v>-140521</v>
      </c>
      <c r="C15" s="123">
        <v>-198904</v>
      </c>
      <c r="D15" s="123">
        <v>58383</v>
      </c>
      <c r="E15" s="123">
        <f>F15+G15+H15+J15</f>
        <v>795930</v>
      </c>
      <c r="F15" s="123">
        <v>721414</v>
      </c>
      <c r="G15" s="154">
        <v>963</v>
      </c>
      <c r="H15" s="154">
        <v>56719</v>
      </c>
      <c r="I15" s="154">
        <v>0</v>
      </c>
      <c r="J15" s="154">
        <v>16834</v>
      </c>
      <c r="K15" s="154"/>
      <c r="L15" s="154">
        <v>247478</v>
      </c>
      <c r="M15" s="154">
        <v>129360</v>
      </c>
      <c r="N15" s="154">
        <v>376838</v>
      </c>
      <c r="O15" s="154">
        <v>103</v>
      </c>
      <c r="P15" s="154">
        <v>42959</v>
      </c>
      <c r="Q15" s="154">
        <v>337714</v>
      </c>
      <c r="R15" s="154">
        <v>-102204</v>
      </c>
      <c r="S15" s="6">
        <v>2002</v>
      </c>
      <c r="T15" s="112"/>
    </row>
    <row r="16" spans="1:20" ht="12.75" hidden="1">
      <c r="A16" s="122">
        <v>2003</v>
      </c>
      <c r="B16" s="123">
        <v>-195880</v>
      </c>
      <c r="C16" s="123">
        <v>-274719</v>
      </c>
      <c r="D16" s="123">
        <v>78839</v>
      </c>
      <c r="E16" s="123">
        <v>880964</v>
      </c>
      <c r="F16" s="123">
        <v>769255</v>
      </c>
      <c r="G16" s="154">
        <v>3661</v>
      </c>
      <c r="H16" s="154">
        <v>93317</v>
      </c>
      <c r="I16" s="154">
        <v>0</v>
      </c>
      <c r="J16" s="154">
        <v>14730</v>
      </c>
      <c r="K16" s="154"/>
      <c r="L16" s="154">
        <v>292950</v>
      </c>
      <c r="M16" s="154">
        <v>166383</v>
      </c>
      <c r="N16" s="154">
        <v>459333</v>
      </c>
      <c r="O16" s="154">
        <v>94</v>
      </c>
      <c r="P16" s="154">
        <v>51239</v>
      </c>
      <c r="Q16" s="154">
        <v>310483</v>
      </c>
      <c r="R16" s="154">
        <v>-136065</v>
      </c>
      <c r="S16" s="122">
        <v>2003</v>
      </c>
      <c r="T16" s="112"/>
    </row>
    <row r="17" spans="1:20" ht="12.75" customHeight="1" hidden="1">
      <c r="A17" s="122">
        <v>2004</v>
      </c>
      <c r="B17" s="123">
        <f>C17+D17</f>
        <v>-103914</v>
      </c>
      <c r="C17" s="124">
        <v>-203969</v>
      </c>
      <c r="D17" s="124">
        <v>100055</v>
      </c>
      <c r="E17" s="124">
        <v>875770</v>
      </c>
      <c r="F17" s="124">
        <v>721021</v>
      </c>
      <c r="G17" s="191">
        <v>3453</v>
      </c>
      <c r="H17" s="191">
        <v>135486</v>
      </c>
      <c r="I17" s="191">
        <v>0</v>
      </c>
      <c r="J17" s="191">
        <v>15810</v>
      </c>
      <c r="K17" s="191"/>
      <c r="L17" s="191">
        <v>344524</v>
      </c>
      <c r="M17" s="191">
        <v>207058</v>
      </c>
      <c r="N17" s="191">
        <v>551582</v>
      </c>
      <c r="O17" s="191">
        <v>182</v>
      </c>
      <c r="P17" s="191">
        <v>57205</v>
      </c>
      <c r="Q17" s="191">
        <v>279065</v>
      </c>
      <c r="R17" s="191">
        <v>-115465</v>
      </c>
      <c r="S17" s="122">
        <v>2004</v>
      </c>
      <c r="T17" s="112"/>
    </row>
    <row r="18" spans="1:20" ht="12.75" hidden="1">
      <c r="A18" s="6">
        <v>2005</v>
      </c>
      <c r="B18" s="123">
        <v>85928</v>
      </c>
      <c r="C18" s="124">
        <v>-63956</v>
      </c>
      <c r="D18" s="124">
        <v>149884</v>
      </c>
      <c r="E18" s="124">
        <v>875433</v>
      </c>
      <c r="F18" s="124">
        <v>689735</v>
      </c>
      <c r="G18" s="191">
        <v>4351</v>
      </c>
      <c r="H18" s="191">
        <v>159647</v>
      </c>
      <c r="I18" s="191">
        <v>4875</v>
      </c>
      <c r="J18" s="191">
        <v>16910</v>
      </c>
      <c r="K18" s="191"/>
      <c r="L18" s="191">
        <v>424173</v>
      </c>
      <c r="M18" s="191">
        <v>300005</v>
      </c>
      <c r="N18" s="191">
        <v>724178</v>
      </c>
      <c r="O18" s="191">
        <v>248</v>
      </c>
      <c r="P18" s="191">
        <v>24678</v>
      </c>
      <c r="Q18" s="191">
        <v>276238</v>
      </c>
      <c r="R18" s="191">
        <v>-63982</v>
      </c>
      <c r="S18" s="6">
        <v>2005</v>
      </c>
      <c r="T18" s="112"/>
    </row>
    <row r="19" spans="1:20" ht="12.75">
      <c r="A19" s="6">
        <v>2006</v>
      </c>
      <c r="B19" s="123">
        <v>657400</v>
      </c>
      <c r="C19" s="123">
        <v>447775</v>
      </c>
      <c r="D19" s="123">
        <v>209626</v>
      </c>
      <c r="E19" s="123">
        <v>932556.3702997898</v>
      </c>
      <c r="F19" s="123">
        <v>718954</v>
      </c>
      <c r="G19" s="154">
        <v>5242</v>
      </c>
      <c r="H19" s="154">
        <v>189190</v>
      </c>
      <c r="I19" s="154">
        <v>4875</v>
      </c>
      <c r="J19" s="154">
        <v>14377</v>
      </c>
      <c r="K19" s="154">
        <v>44821</v>
      </c>
      <c r="L19" s="154">
        <v>489297.58654239995</v>
      </c>
      <c r="M19" s="154">
        <v>390210</v>
      </c>
      <c r="N19" s="154">
        <v>879571</v>
      </c>
      <c r="O19" s="154">
        <v>161</v>
      </c>
      <c r="P19" s="154">
        <v>25026</v>
      </c>
      <c r="Q19" s="154">
        <v>489601.80036496994</v>
      </c>
      <c r="R19" s="192">
        <v>240472.6175057502</v>
      </c>
      <c r="S19" s="6">
        <v>2006</v>
      </c>
      <c r="T19" s="112"/>
    </row>
    <row r="20" spans="1:20" s="126" customFormat="1" ht="12.75">
      <c r="A20" s="6">
        <v>2007</v>
      </c>
      <c r="B20" s="96">
        <v>882641.7029012402</v>
      </c>
      <c r="C20" s="96">
        <v>536196.3357594102</v>
      </c>
      <c r="D20" s="96">
        <v>346445.36714183004</v>
      </c>
      <c r="E20" s="96">
        <v>485005.20964526</v>
      </c>
      <c r="F20" s="96">
        <v>200649</v>
      </c>
      <c r="G20" s="192">
        <v>8386.020705859999</v>
      </c>
      <c r="H20" s="192">
        <v>263749.53637534</v>
      </c>
      <c r="I20" s="192">
        <v>4875.170954</v>
      </c>
      <c r="J20" s="192">
        <v>7345.48161006</v>
      </c>
      <c r="K20" s="192">
        <v>36237</v>
      </c>
      <c r="L20" s="192">
        <v>549580.5086427601</v>
      </c>
      <c r="M20" s="192">
        <v>529120.9065145301</v>
      </c>
      <c r="N20" s="192">
        <v>1078701.4151572902</v>
      </c>
      <c r="O20" s="192">
        <v>136.86559793000004</v>
      </c>
      <c r="P20" s="192">
        <v>25056.92767797</v>
      </c>
      <c r="Q20" s="192">
        <v>442512.80569338</v>
      </c>
      <c r="R20" s="192">
        <v>-142524.03809551225</v>
      </c>
      <c r="S20" s="6">
        <v>2007</v>
      </c>
      <c r="T20" s="125"/>
    </row>
    <row r="21" spans="1:20" ht="12.75" hidden="1">
      <c r="A21" s="6">
        <v>2007</v>
      </c>
      <c r="B21" s="127"/>
      <c r="C21" s="123"/>
      <c r="D21" s="123"/>
      <c r="E21" s="123"/>
      <c r="F21" s="123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92"/>
      <c r="S21" s="6">
        <v>2008</v>
      </c>
      <c r="T21" s="112"/>
    </row>
    <row r="22" spans="1:20" ht="12.75" hidden="1">
      <c r="A22" s="6">
        <v>2007</v>
      </c>
      <c r="B22" s="123">
        <v>-102608</v>
      </c>
      <c r="C22" s="123">
        <v>-121781</v>
      </c>
      <c r="D22" s="123">
        <v>19173</v>
      </c>
      <c r="E22" s="123">
        <v>453145</v>
      </c>
      <c r="F22" s="123">
        <v>427947</v>
      </c>
      <c r="G22" s="154">
        <v>761</v>
      </c>
      <c r="H22" s="154">
        <v>23760</v>
      </c>
      <c r="I22" s="154">
        <v>35</v>
      </c>
      <c r="J22" s="154">
        <v>643</v>
      </c>
      <c r="K22" s="154"/>
      <c r="L22" s="154">
        <v>56989</v>
      </c>
      <c r="M22" s="154">
        <v>32505</v>
      </c>
      <c r="N22" s="154">
        <f t="shared" si="0"/>
        <v>89494</v>
      </c>
      <c r="O22" s="154">
        <v>3</v>
      </c>
      <c r="P22" s="154">
        <v>17073</v>
      </c>
      <c r="Q22" s="154">
        <v>251959</v>
      </c>
      <c r="R22" s="192">
        <v>-7991</v>
      </c>
      <c r="S22" s="6">
        <v>2009</v>
      </c>
      <c r="T22" s="112"/>
    </row>
    <row r="23" spans="1:20" ht="12.75" hidden="1">
      <c r="A23" s="6">
        <v>2007</v>
      </c>
      <c r="B23" s="123">
        <v>-100001</v>
      </c>
      <c r="C23" s="123">
        <v>-119228</v>
      </c>
      <c r="D23" s="123">
        <v>19227</v>
      </c>
      <c r="E23" s="123">
        <v>461613</v>
      </c>
      <c r="F23" s="123">
        <v>439361</v>
      </c>
      <c r="G23" s="154">
        <v>538</v>
      </c>
      <c r="H23" s="154">
        <v>20993</v>
      </c>
      <c r="I23" s="154">
        <v>34</v>
      </c>
      <c r="J23" s="154">
        <v>686</v>
      </c>
      <c r="K23" s="154"/>
      <c r="L23" s="154">
        <v>59445</v>
      </c>
      <c r="M23" s="154">
        <v>36582</v>
      </c>
      <c r="N23" s="154">
        <f t="shared" si="0"/>
        <v>96027</v>
      </c>
      <c r="O23" s="154">
        <v>194</v>
      </c>
      <c r="P23" s="154">
        <v>16506</v>
      </c>
      <c r="Q23" s="154">
        <v>264865</v>
      </c>
      <c r="R23" s="192">
        <v>-15981</v>
      </c>
      <c r="S23" s="6">
        <v>2010</v>
      </c>
      <c r="T23" s="112"/>
    </row>
    <row r="24" spans="1:20" ht="12.75" hidden="1">
      <c r="A24" s="6">
        <v>2007</v>
      </c>
      <c r="B24" s="123">
        <v>-137391</v>
      </c>
      <c r="C24" s="123">
        <v>-157713</v>
      </c>
      <c r="D24" s="123">
        <v>20322</v>
      </c>
      <c r="E24" s="123">
        <v>486137</v>
      </c>
      <c r="F24" s="123">
        <v>463765</v>
      </c>
      <c r="G24" s="154">
        <v>538</v>
      </c>
      <c r="H24" s="154">
        <v>21117</v>
      </c>
      <c r="I24" s="154">
        <v>34</v>
      </c>
      <c r="J24" s="154">
        <v>682</v>
      </c>
      <c r="K24" s="154"/>
      <c r="L24" s="154">
        <v>70122</v>
      </c>
      <c r="M24" s="154">
        <v>40887</v>
      </c>
      <c r="N24" s="154">
        <f t="shared" si="0"/>
        <v>111009</v>
      </c>
      <c r="O24" s="154">
        <v>186</v>
      </c>
      <c r="P24" s="154">
        <v>19820</v>
      </c>
      <c r="Q24" s="154">
        <v>250765</v>
      </c>
      <c r="R24" s="192">
        <v>-33035</v>
      </c>
      <c r="S24" s="6">
        <v>2011</v>
      </c>
      <c r="T24" s="112"/>
    </row>
    <row r="25" spans="1:20" ht="12.75" hidden="1">
      <c r="A25" s="6">
        <v>2007</v>
      </c>
      <c r="B25" s="123">
        <v>-169579</v>
      </c>
      <c r="C25" s="123">
        <v>-190431</v>
      </c>
      <c r="D25" s="123">
        <v>20852</v>
      </c>
      <c r="E25" s="123">
        <v>501858</v>
      </c>
      <c r="F25" s="123">
        <v>473524</v>
      </c>
      <c r="G25" s="154">
        <v>538</v>
      </c>
      <c r="H25" s="154">
        <v>27083</v>
      </c>
      <c r="I25" s="154">
        <v>34</v>
      </c>
      <c r="J25" s="154">
        <v>679</v>
      </c>
      <c r="K25" s="154"/>
      <c r="L25" s="154">
        <v>83612</v>
      </c>
      <c r="M25" s="154">
        <v>43022</v>
      </c>
      <c r="N25" s="154">
        <f t="shared" si="0"/>
        <v>126634</v>
      </c>
      <c r="O25" s="154">
        <v>213</v>
      </c>
      <c r="P25" s="154">
        <v>22120</v>
      </c>
      <c r="Q25" s="154">
        <v>246723</v>
      </c>
      <c r="R25" s="192">
        <v>-63365</v>
      </c>
      <c r="S25" s="6">
        <v>2012</v>
      </c>
      <c r="T25" s="112"/>
    </row>
    <row r="26" spans="1:20" ht="12.75" hidden="1">
      <c r="A26" s="6">
        <v>2007</v>
      </c>
      <c r="B26" s="123"/>
      <c r="C26" s="123"/>
      <c r="D26" s="123"/>
      <c r="E26" s="123"/>
      <c r="F26" s="123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92"/>
      <c r="S26" s="6">
        <v>2013</v>
      </c>
      <c r="T26" s="112"/>
    </row>
    <row r="27" spans="1:20" ht="12.75" hidden="1">
      <c r="A27" s="6">
        <v>2007</v>
      </c>
      <c r="B27" s="123"/>
      <c r="C27" s="123"/>
      <c r="D27" s="123"/>
      <c r="E27" s="123"/>
      <c r="F27" s="123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92"/>
      <c r="S27" s="6">
        <v>2014</v>
      </c>
      <c r="T27" s="112"/>
    </row>
    <row r="28" spans="1:20" ht="12.75" hidden="1">
      <c r="A28" s="6">
        <v>2007</v>
      </c>
      <c r="B28" s="123">
        <v>-198907</v>
      </c>
      <c r="C28" s="123">
        <v>-220614</v>
      </c>
      <c r="D28" s="123">
        <v>21707</v>
      </c>
      <c r="E28" s="123">
        <v>516344</v>
      </c>
      <c r="F28" s="123">
        <v>487934</v>
      </c>
      <c r="G28" s="154">
        <v>538</v>
      </c>
      <c r="H28" s="154">
        <v>27173</v>
      </c>
      <c r="I28" s="154" t="s">
        <v>23</v>
      </c>
      <c r="J28" s="154">
        <v>665</v>
      </c>
      <c r="K28" s="154"/>
      <c r="L28" s="154">
        <v>97531</v>
      </c>
      <c r="M28" s="154">
        <v>45689</v>
      </c>
      <c r="N28" s="154">
        <f t="shared" si="0"/>
        <v>143220</v>
      </c>
      <c r="O28" s="154">
        <v>321</v>
      </c>
      <c r="P28" s="154">
        <v>24755</v>
      </c>
      <c r="Q28" s="154">
        <v>239362</v>
      </c>
      <c r="R28" s="192">
        <v>-90186</v>
      </c>
      <c r="S28" s="6">
        <v>2015</v>
      </c>
      <c r="T28" s="112"/>
    </row>
    <row r="29" spans="1:20" ht="12.75" hidden="1">
      <c r="A29" s="6">
        <v>2007</v>
      </c>
      <c r="B29" s="123">
        <v>-197464</v>
      </c>
      <c r="C29" s="123">
        <v>-225512</v>
      </c>
      <c r="D29" s="123">
        <v>28048</v>
      </c>
      <c r="E29" s="123">
        <v>519528</v>
      </c>
      <c r="F29" s="123">
        <v>493344</v>
      </c>
      <c r="G29" s="154">
        <v>231</v>
      </c>
      <c r="H29" s="154">
        <v>24605</v>
      </c>
      <c r="I29" s="154" t="s">
        <v>23</v>
      </c>
      <c r="J29" s="154">
        <v>1313</v>
      </c>
      <c r="K29" s="154"/>
      <c r="L29" s="154">
        <v>89316</v>
      </c>
      <c r="M29" s="154">
        <v>49223</v>
      </c>
      <c r="N29" s="154">
        <f t="shared" si="0"/>
        <v>138539</v>
      </c>
      <c r="O29" s="154">
        <v>21</v>
      </c>
      <c r="P29" s="154">
        <v>24194</v>
      </c>
      <c r="Q29" s="154">
        <v>183678</v>
      </c>
      <c r="R29" s="192">
        <v>-24323</v>
      </c>
      <c r="S29" s="6">
        <v>2016</v>
      </c>
      <c r="T29" s="112"/>
    </row>
    <row r="30" spans="1:20" ht="12.75" hidden="1">
      <c r="A30" s="6">
        <v>2007</v>
      </c>
      <c r="B30" s="123">
        <v>-214287</v>
      </c>
      <c r="C30" s="123">
        <v>-246837</v>
      </c>
      <c r="D30" s="123">
        <v>32550</v>
      </c>
      <c r="E30" s="123">
        <v>527657</v>
      </c>
      <c r="F30" s="123">
        <v>493944</v>
      </c>
      <c r="G30" s="154">
        <v>273</v>
      </c>
      <c r="H30" s="154">
        <v>31052</v>
      </c>
      <c r="I30" s="154" t="s">
        <v>34</v>
      </c>
      <c r="J30" s="154">
        <v>2355</v>
      </c>
      <c r="K30" s="154"/>
      <c r="L30" s="154">
        <v>81448</v>
      </c>
      <c r="M30" s="154">
        <v>49800</v>
      </c>
      <c r="N30" s="154">
        <f t="shared" si="0"/>
        <v>131248</v>
      </c>
      <c r="O30" s="154">
        <v>27</v>
      </c>
      <c r="P30" s="154">
        <v>31340</v>
      </c>
      <c r="Q30" s="154">
        <v>200386</v>
      </c>
      <c r="R30" s="192">
        <v>-49631</v>
      </c>
      <c r="S30" s="6">
        <v>2017</v>
      </c>
      <c r="T30" s="112"/>
    </row>
    <row r="31" spans="1:20" ht="12.75" hidden="1">
      <c r="A31" s="6">
        <v>2007</v>
      </c>
      <c r="B31" s="123">
        <v>-220423</v>
      </c>
      <c r="C31" s="123">
        <v>-250978</v>
      </c>
      <c r="D31" s="123">
        <v>30555</v>
      </c>
      <c r="E31" s="123">
        <v>537572</v>
      </c>
      <c r="F31" s="123">
        <v>506752</v>
      </c>
      <c r="G31" s="154">
        <v>76</v>
      </c>
      <c r="H31" s="154">
        <v>28644</v>
      </c>
      <c r="I31" s="154" t="s">
        <v>85</v>
      </c>
      <c r="J31" s="154">
        <v>2100</v>
      </c>
      <c r="K31" s="154"/>
      <c r="L31" s="154">
        <v>89744</v>
      </c>
      <c r="M31" s="154">
        <v>51155</v>
      </c>
      <c r="N31" s="154">
        <f t="shared" si="0"/>
        <v>140899</v>
      </c>
      <c r="O31" s="154">
        <v>24</v>
      </c>
      <c r="P31" s="154">
        <v>31180</v>
      </c>
      <c r="Q31" s="154">
        <v>176471</v>
      </c>
      <c r="R31" s="192">
        <v>-31425</v>
      </c>
      <c r="S31" s="6">
        <v>2018</v>
      </c>
      <c r="T31" s="112"/>
    </row>
    <row r="32" spans="1:20" ht="12.75" hidden="1">
      <c r="A32" s="6">
        <v>2007</v>
      </c>
      <c r="B32" s="123"/>
      <c r="C32" s="123"/>
      <c r="D32" s="123"/>
      <c r="E32" s="123"/>
      <c r="F32" s="123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92"/>
      <c r="S32" s="6">
        <v>2019</v>
      </c>
      <c r="T32" s="112"/>
    </row>
    <row r="33" spans="1:20" ht="12.75" hidden="1">
      <c r="A33" s="6">
        <v>2007</v>
      </c>
      <c r="B33" s="123"/>
      <c r="C33" s="123"/>
      <c r="D33" s="123"/>
      <c r="E33" s="123"/>
      <c r="F33" s="123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92"/>
      <c r="S33" s="6">
        <v>2020</v>
      </c>
      <c r="T33" s="112"/>
    </row>
    <row r="34" spans="1:20" ht="12.75" hidden="1">
      <c r="A34" s="6">
        <v>2007</v>
      </c>
      <c r="B34" s="123">
        <v>-199637</v>
      </c>
      <c r="C34" s="123">
        <v>-230541</v>
      </c>
      <c r="D34" s="123">
        <v>30904</v>
      </c>
      <c r="E34" s="123">
        <v>538036</v>
      </c>
      <c r="F34" s="123">
        <v>508054</v>
      </c>
      <c r="G34" s="154">
        <v>78</v>
      </c>
      <c r="H34" s="154">
        <v>27805</v>
      </c>
      <c r="I34" s="154">
        <v>0</v>
      </c>
      <c r="J34" s="154">
        <v>2099</v>
      </c>
      <c r="K34" s="154"/>
      <c r="L34" s="154">
        <v>92849</v>
      </c>
      <c r="M34" s="154">
        <v>51297</v>
      </c>
      <c r="N34" s="154">
        <f t="shared" si="0"/>
        <v>144146</v>
      </c>
      <c r="O34" s="154">
        <v>24</v>
      </c>
      <c r="P34" s="154">
        <v>31064</v>
      </c>
      <c r="Q34" s="154">
        <v>177202</v>
      </c>
      <c r="R34" s="192">
        <v>-14038</v>
      </c>
      <c r="S34" s="6">
        <v>2021</v>
      </c>
      <c r="T34" s="112"/>
    </row>
    <row r="35" spans="1:20" ht="12.75" hidden="1">
      <c r="A35" s="6">
        <v>2007</v>
      </c>
      <c r="B35" s="123">
        <v>-207170</v>
      </c>
      <c r="C35" s="123">
        <v>-237456</v>
      </c>
      <c r="D35" s="123">
        <v>30285</v>
      </c>
      <c r="E35" s="123">
        <v>557914</v>
      </c>
      <c r="F35" s="123">
        <v>528280</v>
      </c>
      <c r="G35" s="154">
        <v>104</v>
      </c>
      <c r="H35" s="154">
        <v>27429</v>
      </c>
      <c r="I35" s="154">
        <v>0</v>
      </c>
      <c r="J35" s="154">
        <v>2100</v>
      </c>
      <c r="K35" s="154"/>
      <c r="L35" s="154">
        <v>97560</v>
      </c>
      <c r="M35" s="154">
        <v>50989</v>
      </c>
      <c r="N35" s="154">
        <f t="shared" si="0"/>
        <v>148549</v>
      </c>
      <c r="O35" s="154">
        <v>44</v>
      </c>
      <c r="P35" s="154">
        <v>32118</v>
      </c>
      <c r="Q35" s="154">
        <v>181558</v>
      </c>
      <c r="R35" s="192">
        <v>-11525</v>
      </c>
      <c r="S35" s="6">
        <v>2022</v>
      </c>
      <c r="T35" s="112"/>
    </row>
    <row r="36" spans="1:20" ht="12.75" hidden="1">
      <c r="A36" s="6">
        <v>2007</v>
      </c>
      <c r="B36" s="123">
        <v>-210754</v>
      </c>
      <c r="C36" s="123">
        <v>-240518</v>
      </c>
      <c r="D36" s="123">
        <v>29764</v>
      </c>
      <c r="E36" s="123">
        <v>571040</v>
      </c>
      <c r="F36" s="123">
        <v>541843</v>
      </c>
      <c r="G36" s="154">
        <v>75</v>
      </c>
      <c r="H36" s="154">
        <v>27044</v>
      </c>
      <c r="I36" s="154">
        <v>0</v>
      </c>
      <c r="J36" s="154">
        <v>2077</v>
      </c>
      <c r="K36" s="154"/>
      <c r="L36" s="154">
        <v>105597</v>
      </c>
      <c r="M36" s="154">
        <v>53314</v>
      </c>
      <c r="N36" s="154">
        <f t="shared" si="0"/>
        <v>158911</v>
      </c>
      <c r="O36" s="154">
        <v>34</v>
      </c>
      <c r="P36" s="154">
        <v>33551</v>
      </c>
      <c r="Q36" s="154">
        <v>179758</v>
      </c>
      <c r="R36" s="192">
        <v>-11967</v>
      </c>
      <c r="S36" s="6">
        <v>2023</v>
      </c>
      <c r="T36" s="112"/>
    </row>
    <row r="37" spans="1:20" ht="12.75" hidden="1">
      <c r="A37" s="6">
        <v>2007</v>
      </c>
      <c r="B37" s="123">
        <v>-219074</v>
      </c>
      <c r="C37" s="123">
        <v>-248214</v>
      </c>
      <c r="D37" s="123">
        <v>29140</v>
      </c>
      <c r="E37" s="123">
        <v>583980</v>
      </c>
      <c r="F37" s="123">
        <v>556794</v>
      </c>
      <c r="G37" s="154">
        <v>67</v>
      </c>
      <c r="H37" s="154">
        <v>26580</v>
      </c>
      <c r="I37" s="154">
        <v>0</v>
      </c>
      <c r="J37" s="154">
        <v>538</v>
      </c>
      <c r="K37" s="154"/>
      <c r="L37" s="154">
        <v>108556</v>
      </c>
      <c r="M37" s="154">
        <v>52214</v>
      </c>
      <c r="N37" s="154">
        <f t="shared" si="0"/>
        <v>160770</v>
      </c>
      <c r="O37" s="154">
        <v>30</v>
      </c>
      <c r="P37" s="154">
        <v>32631</v>
      </c>
      <c r="Q37" s="154">
        <v>184912</v>
      </c>
      <c r="R37" s="192">
        <v>-13437</v>
      </c>
      <c r="S37" s="6">
        <v>2024</v>
      </c>
      <c r="T37" s="112"/>
    </row>
    <row r="38" spans="1:20" ht="12.75" hidden="1">
      <c r="A38" s="6">
        <v>2007</v>
      </c>
      <c r="B38" s="123">
        <v>-232307</v>
      </c>
      <c r="C38" s="123">
        <v>-260305</v>
      </c>
      <c r="D38" s="123">
        <v>27998</v>
      </c>
      <c r="E38" s="123">
        <v>589987</v>
      </c>
      <c r="F38" s="123">
        <v>559818</v>
      </c>
      <c r="G38" s="154">
        <v>82</v>
      </c>
      <c r="H38" s="154">
        <v>26940</v>
      </c>
      <c r="I38" s="154">
        <v>0</v>
      </c>
      <c r="J38" s="154">
        <v>3147</v>
      </c>
      <c r="K38" s="154"/>
      <c r="L38" s="154">
        <v>109239</v>
      </c>
      <c r="M38" s="154">
        <v>51755</v>
      </c>
      <c r="N38" s="154">
        <f t="shared" si="0"/>
        <v>160994</v>
      </c>
      <c r="O38" s="154">
        <v>35</v>
      </c>
      <c r="P38" s="154">
        <v>34310</v>
      </c>
      <c r="Q38" s="154">
        <v>170779</v>
      </c>
      <c r="R38" s="192">
        <v>-8438</v>
      </c>
      <c r="S38" s="6">
        <v>2025</v>
      </c>
      <c r="T38" s="112"/>
    </row>
    <row r="39" spans="1:20" ht="12.75" hidden="1">
      <c r="A39" s="6">
        <v>2007</v>
      </c>
      <c r="B39" s="123">
        <v>-245412</v>
      </c>
      <c r="C39" s="123">
        <v>-275693</v>
      </c>
      <c r="D39" s="123">
        <v>30280</v>
      </c>
      <c r="E39" s="123">
        <v>594748</v>
      </c>
      <c r="F39" s="123">
        <v>564009</v>
      </c>
      <c r="G39" s="154">
        <v>86</v>
      </c>
      <c r="H39" s="154">
        <v>27354</v>
      </c>
      <c r="I39" s="154">
        <v>0</v>
      </c>
      <c r="J39" s="154">
        <v>3299</v>
      </c>
      <c r="K39" s="154"/>
      <c r="L39" s="154">
        <v>114463</v>
      </c>
      <c r="M39" s="154">
        <v>55536</v>
      </c>
      <c r="N39" s="154">
        <f t="shared" si="0"/>
        <v>169999</v>
      </c>
      <c r="O39" s="154">
        <v>36</v>
      </c>
      <c r="P39" s="154">
        <v>34310</v>
      </c>
      <c r="Q39" s="154">
        <v>172972</v>
      </c>
      <c r="R39" s="192">
        <v>-27981</v>
      </c>
      <c r="S39" s="6">
        <v>2026</v>
      </c>
      <c r="T39" s="112"/>
    </row>
    <row r="40" spans="1:20" ht="12.75" hidden="1">
      <c r="A40" s="6">
        <v>2007</v>
      </c>
      <c r="B40" s="123">
        <v>-266722</v>
      </c>
      <c r="C40" s="123">
        <v>-295000</v>
      </c>
      <c r="D40" s="123">
        <v>28277</v>
      </c>
      <c r="E40" s="123">
        <v>611491</v>
      </c>
      <c r="F40" s="123">
        <v>578843</v>
      </c>
      <c r="G40" s="154">
        <v>160</v>
      </c>
      <c r="H40" s="154">
        <v>29253</v>
      </c>
      <c r="I40" s="154">
        <v>0</v>
      </c>
      <c r="J40" s="154">
        <v>3234</v>
      </c>
      <c r="K40" s="154"/>
      <c r="L40" s="154">
        <v>116581</v>
      </c>
      <c r="M40" s="154">
        <v>61112</v>
      </c>
      <c r="N40" s="154">
        <f t="shared" si="0"/>
        <v>177693</v>
      </c>
      <c r="O40" s="154">
        <v>39</v>
      </c>
      <c r="P40" s="154">
        <v>34188</v>
      </c>
      <c r="Q40" s="154">
        <v>177115</v>
      </c>
      <c r="R40" s="192">
        <v>-44266</v>
      </c>
      <c r="S40" s="6">
        <v>2027</v>
      </c>
      <c r="T40" s="112"/>
    </row>
    <row r="41" spans="1:20" ht="12.75" hidden="1">
      <c r="A41" s="6">
        <v>2007</v>
      </c>
      <c r="B41" s="123">
        <v>-291915</v>
      </c>
      <c r="C41" s="123">
        <v>-323105</v>
      </c>
      <c r="D41" s="123">
        <v>31189</v>
      </c>
      <c r="E41" s="123">
        <v>611151</v>
      </c>
      <c r="F41" s="123">
        <v>579647</v>
      </c>
      <c r="G41" s="154">
        <v>81</v>
      </c>
      <c r="H41" s="154">
        <v>30230</v>
      </c>
      <c r="I41" s="154">
        <v>0</v>
      </c>
      <c r="J41" s="154">
        <v>1194</v>
      </c>
      <c r="K41" s="154"/>
      <c r="L41" s="154">
        <v>115776</v>
      </c>
      <c r="M41" s="154">
        <v>56745</v>
      </c>
      <c r="N41" s="154">
        <f t="shared" si="0"/>
        <v>172521</v>
      </c>
      <c r="O41" s="154">
        <v>92</v>
      </c>
      <c r="P41" s="154">
        <v>37908</v>
      </c>
      <c r="Q41" s="154">
        <v>176251</v>
      </c>
      <c r="R41" s="192">
        <v>-67535</v>
      </c>
      <c r="S41" s="6">
        <v>2028</v>
      </c>
      <c r="T41" s="112"/>
    </row>
    <row r="42" spans="1:20" ht="12.75" hidden="1">
      <c r="A42" s="6">
        <v>2007</v>
      </c>
      <c r="B42" s="123">
        <v>-321973</v>
      </c>
      <c r="C42" s="123">
        <v>-353538</v>
      </c>
      <c r="D42" s="123">
        <v>31565</v>
      </c>
      <c r="E42" s="123">
        <v>611274</v>
      </c>
      <c r="F42" s="123">
        <v>579938</v>
      </c>
      <c r="G42" s="154">
        <v>13</v>
      </c>
      <c r="H42" s="154">
        <v>22064</v>
      </c>
      <c r="I42" s="154">
        <v>0</v>
      </c>
      <c r="J42" s="154">
        <v>9258</v>
      </c>
      <c r="K42" s="154"/>
      <c r="L42" s="154">
        <v>120684</v>
      </c>
      <c r="M42" s="154">
        <v>54602</v>
      </c>
      <c r="N42" s="154">
        <f t="shared" si="0"/>
        <v>175286</v>
      </c>
      <c r="O42" s="154">
        <v>36</v>
      </c>
      <c r="P42" s="154">
        <v>40380</v>
      </c>
      <c r="Q42" s="154">
        <v>174148</v>
      </c>
      <c r="R42" s="192">
        <v>-100549</v>
      </c>
      <c r="S42" s="6">
        <v>2029</v>
      </c>
      <c r="T42" s="112"/>
    </row>
    <row r="43" spans="1:20" ht="12.75" hidden="1">
      <c r="A43" s="6">
        <v>2007</v>
      </c>
      <c r="B43" s="123">
        <v>-310482</v>
      </c>
      <c r="C43" s="123">
        <v>-343255</v>
      </c>
      <c r="D43" s="123">
        <v>32773</v>
      </c>
      <c r="E43" s="123">
        <v>619930</v>
      </c>
      <c r="F43" s="123">
        <v>589967</v>
      </c>
      <c r="G43" s="154">
        <v>94</v>
      </c>
      <c r="H43" s="154">
        <v>26744</v>
      </c>
      <c r="I43" s="154">
        <v>0</v>
      </c>
      <c r="J43" s="154">
        <v>5126</v>
      </c>
      <c r="K43" s="154"/>
      <c r="L43" s="154">
        <v>124993</v>
      </c>
      <c r="M43" s="154">
        <v>57846</v>
      </c>
      <c r="N43" s="154">
        <f t="shared" si="0"/>
        <v>182839</v>
      </c>
      <c r="O43" s="154">
        <v>39</v>
      </c>
      <c r="P43" s="154">
        <v>38074</v>
      </c>
      <c r="Q43" s="154">
        <v>176443</v>
      </c>
      <c r="R43" s="192">
        <v>-87947</v>
      </c>
      <c r="S43" s="6">
        <v>2030</v>
      </c>
      <c r="T43" s="112"/>
    </row>
    <row r="44" spans="1:20" ht="12.75" hidden="1">
      <c r="A44" s="6">
        <v>2007</v>
      </c>
      <c r="B44" s="123">
        <v>-349095</v>
      </c>
      <c r="C44" s="123">
        <v>-379928</v>
      </c>
      <c r="D44" s="123">
        <v>30832</v>
      </c>
      <c r="E44" s="123">
        <v>617506</v>
      </c>
      <c r="F44" s="123">
        <v>589126</v>
      </c>
      <c r="G44" s="154">
        <v>78</v>
      </c>
      <c r="H44" s="154">
        <v>25545</v>
      </c>
      <c r="I44" s="154">
        <v>0</v>
      </c>
      <c r="J44" s="154">
        <v>2753</v>
      </c>
      <c r="K44" s="154"/>
      <c r="L44" s="154">
        <v>122415</v>
      </c>
      <c r="M44" s="154">
        <v>55512</v>
      </c>
      <c r="N44" s="154">
        <f t="shared" si="0"/>
        <v>177927</v>
      </c>
      <c r="O44" s="154">
        <v>44</v>
      </c>
      <c r="P44" s="154">
        <v>42878</v>
      </c>
      <c r="Q44" s="154">
        <v>175580</v>
      </c>
      <c r="R44" s="192">
        <v>-128018</v>
      </c>
      <c r="S44" s="6">
        <v>2031</v>
      </c>
      <c r="T44" s="112"/>
    </row>
    <row r="45" spans="1:20" ht="12.75" hidden="1">
      <c r="A45" s="6">
        <v>2007</v>
      </c>
      <c r="B45" s="123">
        <v>-322213</v>
      </c>
      <c r="C45" s="123">
        <v>-363065</v>
      </c>
      <c r="D45" s="123">
        <v>40852</v>
      </c>
      <c r="E45" s="123">
        <v>604813</v>
      </c>
      <c r="F45" s="123">
        <v>577463</v>
      </c>
      <c r="G45" s="154">
        <v>134</v>
      </c>
      <c r="H45" s="154">
        <v>25022</v>
      </c>
      <c r="I45" s="154">
        <v>0</v>
      </c>
      <c r="J45" s="154">
        <v>2190</v>
      </c>
      <c r="K45" s="154"/>
      <c r="L45" s="154">
        <v>134078</v>
      </c>
      <c r="M45" s="154">
        <v>60080</v>
      </c>
      <c r="N45" s="154">
        <f t="shared" si="0"/>
        <v>194158</v>
      </c>
      <c r="O45" s="154">
        <v>34</v>
      </c>
      <c r="P45" s="154">
        <v>44973</v>
      </c>
      <c r="Q45" s="154">
        <v>191049</v>
      </c>
      <c r="R45" s="192">
        <v>-147615</v>
      </c>
      <c r="S45" s="6">
        <v>2032</v>
      </c>
      <c r="T45" s="112"/>
    </row>
    <row r="46" spans="1:20" ht="12.75" hidden="1">
      <c r="A46" s="6">
        <v>2007</v>
      </c>
      <c r="B46" s="123"/>
      <c r="C46" s="123"/>
      <c r="D46" s="123"/>
      <c r="E46" s="123"/>
      <c r="F46" s="123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92"/>
      <c r="S46" s="6">
        <v>2033</v>
      </c>
      <c r="T46" s="112"/>
    </row>
    <row r="47" spans="1:20" ht="12.75" hidden="1">
      <c r="A47" s="6">
        <v>2007</v>
      </c>
      <c r="B47" s="123"/>
      <c r="C47" s="123"/>
      <c r="D47" s="123"/>
      <c r="E47" s="123"/>
      <c r="F47" s="123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92"/>
      <c r="S47" s="6">
        <v>2034</v>
      </c>
      <c r="T47" s="112"/>
    </row>
    <row r="48" spans="1:20" ht="12.75" hidden="1">
      <c r="A48" s="6">
        <v>2007</v>
      </c>
      <c r="B48" s="123"/>
      <c r="C48" s="123"/>
      <c r="D48" s="123"/>
      <c r="E48" s="123"/>
      <c r="F48" s="123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92"/>
      <c r="S48" s="6">
        <v>2035</v>
      </c>
      <c r="T48" s="112"/>
    </row>
    <row r="49" spans="1:20" ht="12.75" hidden="1">
      <c r="A49" s="6">
        <v>2007</v>
      </c>
      <c r="B49" s="123">
        <v>-286355</v>
      </c>
      <c r="C49" s="123">
        <v>-325179</v>
      </c>
      <c r="D49" s="123">
        <v>38824</v>
      </c>
      <c r="E49" s="123">
        <v>585837</v>
      </c>
      <c r="F49" s="123">
        <v>559383</v>
      </c>
      <c r="G49" s="154">
        <v>97</v>
      </c>
      <c r="H49" s="154">
        <v>25122</v>
      </c>
      <c r="I49" s="154">
        <v>23</v>
      </c>
      <c r="J49" s="154">
        <v>1212</v>
      </c>
      <c r="K49" s="154"/>
      <c r="L49" s="154">
        <v>127448</v>
      </c>
      <c r="M49" s="154">
        <v>58089</v>
      </c>
      <c r="N49" s="154">
        <f t="shared" si="0"/>
        <v>185537</v>
      </c>
      <c r="O49" s="154">
        <v>39</v>
      </c>
      <c r="P49" s="154">
        <v>46779</v>
      </c>
      <c r="Q49" s="154">
        <v>179310</v>
      </c>
      <c r="R49" s="192">
        <v>-112183</v>
      </c>
      <c r="S49" s="6">
        <v>2036</v>
      </c>
      <c r="T49" s="112"/>
    </row>
    <row r="50" spans="1:20" ht="12.75" hidden="1">
      <c r="A50" s="6">
        <v>2007</v>
      </c>
      <c r="B50" s="123">
        <v>-295434</v>
      </c>
      <c r="C50" s="123">
        <v>-335624</v>
      </c>
      <c r="D50" s="123">
        <v>40191</v>
      </c>
      <c r="E50" s="123">
        <v>659990</v>
      </c>
      <c r="F50" s="123">
        <v>631835</v>
      </c>
      <c r="G50" s="154">
        <v>144</v>
      </c>
      <c r="H50" s="154">
        <v>26750</v>
      </c>
      <c r="I50" s="154">
        <v>0</v>
      </c>
      <c r="J50" s="154">
        <v>1261</v>
      </c>
      <c r="K50" s="154"/>
      <c r="L50" s="154">
        <v>126240</v>
      </c>
      <c r="M50" s="154">
        <v>56240</v>
      </c>
      <c r="N50" s="154">
        <f t="shared" si="0"/>
        <v>182480</v>
      </c>
      <c r="O50" s="154">
        <v>38</v>
      </c>
      <c r="P50" s="154">
        <v>46782</v>
      </c>
      <c r="Q50" s="154">
        <v>245426</v>
      </c>
      <c r="R50" s="192">
        <v>-110170</v>
      </c>
      <c r="S50" s="6">
        <v>2037</v>
      </c>
      <c r="T50" s="112"/>
    </row>
    <row r="51" spans="1:20" ht="12.75" hidden="1">
      <c r="A51" s="6">
        <v>2007</v>
      </c>
      <c r="B51" s="123">
        <v>-289279</v>
      </c>
      <c r="C51" s="123">
        <v>-331123</v>
      </c>
      <c r="D51" s="123">
        <v>41844</v>
      </c>
      <c r="E51" s="123">
        <f aca="true" t="shared" si="1" ref="E51:E60">F51+G51+H51+J51</f>
        <v>635354</v>
      </c>
      <c r="F51" s="123">
        <v>604426</v>
      </c>
      <c r="G51" s="154">
        <v>365</v>
      </c>
      <c r="H51" s="154">
        <v>27283</v>
      </c>
      <c r="I51" s="154">
        <v>0</v>
      </c>
      <c r="J51" s="154">
        <v>3280</v>
      </c>
      <c r="K51" s="154"/>
      <c r="L51" s="154">
        <v>128673</v>
      </c>
      <c r="M51" s="154">
        <v>57957</v>
      </c>
      <c r="N51" s="154">
        <f t="shared" si="0"/>
        <v>186630</v>
      </c>
      <c r="O51" s="154">
        <v>27</v>
      </c>
      <c r="P51" s="154">
        <v>44665</v>
      </c>
      <c r="Q51" s="154">
        <v>265422</v>
      </c>
      <c r="R51" s="192">
        <v>-150638</v>
      </c>
      <c r="S51" s="6">
        <v>2038</v>
      </c>
      <c r="T51" s="112"/>
    </row>
    <row r="52" spans="1:20" ht="12.75" hidden="1">
      <c r="A52" s="6">
        <v>2007</v>
      </c>
      <c r="B52" s="123">
        <v>-229967</v>
      </c>
      <c r="C52" s="123">
        <v>-268176</v>
      </c>
      <c r="D52" s="123">
        <v>38209</v>
      </c>
      <c r="E52" s="123">
        <f t="shared" si="1"/>
        <v>624655</v>
      </c>
      <c r="F52" s="123">
        <v>593265</v>
      </c>
      <c r="G52" s="154">
        <v>614</v>
      </c>
      <c r="H52" s="154">
        <v>27686</v>
      </c>
      <c r="I52" s="154">
        <v>0</v>
      </c>
      <c r="J52" s="154">
        <v>3090</v>
      </c>
      <c r="K52" s="154"/>
      <c r="L52" s="154">
        <v>126180</v>
      </c>
      <c r="M52" s="154">
        <v>58345</v>
      </c>
      <c r="N52" s="154">
        <f t="shared" si="0"/>
        <v>184525</v>
      </c>
      <c r="O52" s="154">
        <v>33</v>
      </c>
      <c r="P52" s="154">
        <v>38120</v>
      </c>
      <c r="Q52" s="154">
        <v>257822</v>
      </c>
      <c r="R52" s="192">
        <v>-85812</v>
      </c>
      <c r="S52" s="6">
        <v>2039</v>
      </c>
      <c r="T52" s="112"/>
    </row>
    <row r="53" spans="1:20" ht="12.75" hidden="1">
      <c r="A53" s="6">
        <v>2007</v>
      </c>
      <c r="B53" s="123">
        <v>-234835</v>
      </c>
      <c r="C53" s="123">
        <v>-266894</v>
      </c>
      <c r="D53" s="123">
        <v>32059</v>
      </c>
      <c r="E53" s="123">
        <f t="shared" si="1"/>
        <v>642027</v>
      </c>
      <c r="F53" s="123">
        <v>604512</v>
      </c>
      <c r="G53" s="154">
        <v>475</v>
      </c>
      <c r="H53" s="154">
        <v>27682</v>
      </c>
      <c r="I53" s="154">
        <v>0</v>
      </c>
      <c r="J53" s="154">
        <v>9358</v>
      </c>
      <c r="K53" s="154"/>
      <c r="L53" s="154">
        <v>130955</v>
      </c>
      <c r="M53" s="154">
        <v>60530</v>
      </c>
      <c r="N53" s="154">
        <f t="shared" si="0"/>
        <v>191485</v>
      </c>
      <c r="O53" s="154">
        <v>27</v>
      </c>
      <c r="P53" s="154">
        <v>38148</v>
      </c>
      <c r="Q53" s="154">
        <v>210887</v>
      </c>
      <c r="R53" s="192">
        <v>-33355</v>
      </c>
      <c r="S53" s="6">
        <v>2040</v>
      </c>
      <c r="T53" s="112"/>
    </row>
    <row r="54" spans="1:20" ht="12.75" hidden="1">
      <c r="A54" s="6">
        <v>2007</v>
      </c>
      <c r="B54" s="123">
        <v>-261611</v>
      </c>
      <c r="C54" s="123">
        <v>-297822</v>
      </c>
      <c r="D54" s="123">
        <v>36219</v>
      </c>
      <c r="E54" s="123">
        <f t="shared" si="1"/>
        <v>723627</v>
      </c>
      <c r="F54" s="123">
        <v>687799</v>
      </c>
      <c r="G54" s="154">
        <v>425</v>
      </c>
      <c r="H54" s="154">
        <v>27366</v>
      </c>
      <c r="I54" s="154">
        <v>0</v>
      </c>
      <c r="J54" s="154">
        <v>8037</v>
      </c>
      <c r="K54" s="154"/>
      <c r="L54" s="154">
        <v>130280</v>
      </c>
      <c r="M54" s="154">
        <v>64668</v>
      </c>
      <c r="N54" s="154">
        <f t="shared" si="0"/>
        <v>194948</v>
      </c>
      <c r="O54" s="154">
        <v>44</v>
      </c>
      <c r="P54" s="154">
        <v>39673</v>
      </c>
      <c r="Q54" s="154">
        <v>268939</v>
      </c>
      <c r="R54" s="192">
        <v>-41579</v>
      </c>
      <c r="S54" s="6">
        <v>2041</v>
      </c>
      <c r="T54" s="112"/>
    </row>
    <row r="55" spans="1:20" ht="12.75" hidden="1">
      <c r="A55" s="6">
        <v>2007</v>
      </c>
      <c r="B55" s="123">
        <v>-278405</v>
      </c>
      <c r="C55" s="123">
        <v>-321185</v>
      </c>
      <c r="D55" s="123">
        <v>42780</v>
      </c>
      <c r="E55" s="123">
        <f t="shared" si="1"/>
        <v>734882</v>
      </c>
      <c r="F55" s="123">
        <v>699384</v>
      </c>
      <c r="G55" s="154">
        <v>425</v>
      </c>
      <c r="H55" s="154">
        <v>29409</v>
      </c>
      <c r="I55" s="154">
        <v>0</v>
      </c>
      <c r="J55" s="154">
        <v>5664</v>
      </c>
      <c r="K55" s="154"/>
      <c r="L55" s="154">
        <v>131641</v>
      </c>
      <c r="M55" s="154">
        <v>65718</v>
      </c>
      <c r="N55" s="154">
        <f t="shared" si="0"/>
        <v>197359</v>
      </c>
      <c r="O55" s="154">
        <v>51</v>
      </c>
      <c r="P55" s="154">
        <v>42080</v>
      </c>
      <c r="Q55" s="154">
        <v>273035</v>
      </c>
      <c r="R55" s="192">
        <v>-56048</v>
      </c>
      <c r="S55" s="6">
        <v>2042</v>
      </c>
      <c r="T55" s="112"/>
    </row>
    <row r="56" spans="1:20" ht="12.75" hidden="1">
      <c r="A56" s="6">
        <v>2007</v>
      </c>
      <c r="B56" s="123">
        <v>-277020</v>
      </c>
      <c r="C56" s="123">
        <v>-322091</v>
      </c>
      <c r="D56" s="123">
        <v>45071</v>
      </c>
      <c r="E56" s="123">
        <f t="shared" si="1"/>
        <v>738849</v>
      </c>
      <c r="F56" s="123">
        <v>702769</v>
      </c>
      <c r="G56" s="154">
        <v>429</v>
      </c>
      <c r="H56" s="154">
        <v>30471</v>
      </c>
      <c r="I56" s="154">
        <v>0</v>
      </c>
      <c r="J56" s="154">
        <v>5180</v>
      </c>
      <c r="K56" s="154"/>
      <c r="L56" s="154">
        <v>126593</v>
      </c>
      <c r="M56" s="154">
        <v>73878</v>
      </c>
      <c r="N56" s="154">
        <f t="shared" si="0"/>
        <v>200471</v>
      </c>
      <c r="O56" s="154">
        <v>45</v>
      </c>
      <c r="P56" s="154">
        <v>42121</v>
      </c>
      <c r="Q56" s="154">
        <v>274522</v>
      </c>
      <c r="R56" s="192">
        <v>-55330</v>
      </c>
      <c r="S56" s="6">
        <v>2043</v>
      </c>
      <c r="T56" s="112"/>
    </row>
    <row r="57" spans="1:20" ht="12.75" hidden="1">
      <c r="A57" s="6">
        <v>2007</v>
      </c>
      <c r="B57" s="123">
        <v>-276716</v>
      </c>
      <c r="C57" s="123">
        <v>-393754</v>
      </c>
      <c r="D57" s="123">
        <v>47980</v>
      </c>
      <c r="E57" s="123">
        <f t="shared" si="1"/>
        <v>749169</v>
      </c>
      <c r="F57" s="123">
        <v>714936</v>
      </c>
      <c r="G57" s="154">
        <v>579</v>
      </c>
      <c r="H57" s="154">
        <v>26658</v>
      </c>
      <c r="I57" s="154">
        <v>0</v>
      </c>
      <c r="J57" s="154">
        <v>6996</v>
      </c>
      <c r="K57" s="154"/>
      <c r="L57" s="154">
        <v>124860</v>
      </c>
      <c r="M57" s="154">
        <v>75428</v>
      </c>
      <c r="N57" s="154">
        <f t="shared" si="0"/>
        <v>200288</v>
      </c>
      <c r="O57" s="154">
        <v>32</v>
      </c>
      <c r="P57" s="154">
        <v>41492</v>
      </c>
      <c r="Q57" s="154">
        <v>279518</v>
      </c>
      <c r="R57" s="192">
        <v>-48877</v>
      </c>
      <c r="S57" s="6">
        <v>2044</v>
      </c>
      <c r="T57" s="112"/>
    </row>
    <row r="58" spans="1:20" ht="12.75" hidden="1">
      <c r="A58" s="6">
        <v>2007</v>
      </c>
      <c r="B58" s="123">
        <v>-250678</v>
      </c>
      <c r="C58" s="123">
        <v>-298000</v>
      </c>
      <c r="D58" s="123">
        <v>47322</v>
      </c>
      <c r="E58" s="123">
        <f t="shared" si="1"/>
        <v>738034</v>
      </c>
      <c r="F58" s="123">
        <v>701961</v>
      </c>
      <c r="G58" s="154">
        <v>477</v>
      </c>
      <c r="H58" s="154">
        <v>28208</v>
      </c>
      <c r="I58" s="154">
        <v>0</v>
      </c>
      <c r="J58" s="154">
        <v>7388</v>
      </c>
      <c r="K58" s="154"/>
      <c r="L58" s="154">
        <v>124315</v>
      </c>
      <c r="M58" s="154">
        <v>79569</v>
      </c>
      <c r="N58" s="154">
        <f t="shared" si="0"/>
        <v>203884</v>
      </c>
      <c r="O58" s="154">
        <v>28</v>
      </c>
      <c r="P58" s="154">
        <v>40742</v>
      </c>
      <c r="Q58" s="154">
        <v>278807</v>
      </c>
      <c r="R58" s="192">
        <v>-36105</v>
      </c>
      <c r="S58" s="6">
        <v>2045</v>
      </c>
      <c r="T58" s="112"/>
    </row>
    <row r="59" spans="1:20" ht="12.75" hidden="1">
      <c r="A59" s="6">
        <v>2007</v>
      </c>
      <c r="B59" s="123">
        <v>-241245</v>
      </c>
      <c r="C59" s="123">
        <v>-284844</v>
      </c>
      <c r="D59" s="123">
        <v>43598</v>
      </c>
      <c r="E59" s="123">
        <f t="shared" si="1"/>
        <v>750300</v>
      </c>
      <c r="F59" s="123">
        <v>712816</v>
      </c>
      <c r="G59" s="154">
        <v>605</v>
      </c>
      <c r="H59" s="154">
        <v>27011</v>
      </c>
      <c r="I59" s="154">
        <v>0</v>
      </c>
      <c r="J59" s="154">
        <v>9868</v>
      </c>
      <c r="K59" s="154"/>
      <c r="L59" s="154">
        <v>127876</v>
      </c>
      <c r="M59" s="154">
        <v>73017</v>
      </c>
      <c r="N59" s="154">
        <f t="shared" si="0"/>
        <v>200893</v>
      </c>
      <c r="O59" s="154">
        <v>42</v>
      </c>
      <c r="P59" s="154">
        <v>36979</v>
      </c>
      <c r="Q59" s="154">
        <v>274188</v>
      </c>
      <c r="R59" s="192">
        <v>-3047</v>
      </c>
      <c r="S59" s="6">
        <v>2046</v>
      </c>
      <c r="T59" s="112"/>
    </row>
    <row r="60" spans="1:20" ht="12.75" hidden="1">
      <c r="A60" s="6">
        <v>2007</v>
      </c>
      <c r="B60" s="123">
        <v>-178831</v>
      </c>
      <c r="C60" s="123">
        <v>-219442</v>
      </c>
      <c r="D60" s="123">
        <v>40611</v>
      </c>
      <c r="E60" s="123">
        <f t="shared" si="1"/>
        <v>723811</v>
      </c>
      <c r="F60" s="123">
        <v>684819</v>
      </c>
      <c r="G60" s="154">
        <v>635</v>
      </c>
      <c r="H60" s="154">
        <v>28043</v>
      </c>
      <c r="I60" s="154">
        <v>0</v>
      </c>
      <c r="J60" s="154">
        <v>10314</v>
      </c>
      <c r="K60" s="154"/>
      <c r="L60" s="154">
        <v>139956</v>
      </c>
      <c r="M60" s="154">
        <v>77649</v>
      </c>
      <c r="N60" s="154">
        <f t="shared" si="0"/>
        <v>217605</v>
      </c>
      <c r="O60" s="154">
        <v>54</v>
      </c>
      <c r="P60" s="154">
        <v>32536</v>
      </c>
      <c r="Q60" s="154">
        <v>271371</v>
      </c>
      <c r="R60" s="192">
        <v>23414</v>
      </c>
      <c r="S60" s="6">
        <v>2047</v>
      </c>
      <c r="T60" s="112"/>
    </row>
    <row r="61" spans="1:20" ht="12.75" hidden="1">
      <c r="A61" s="6">
        <v>2007</v>
      </c>
      <c r="B61" s="123"/>
      <c r="C61" s="123"/>
      <c r="D61" s="123"/>
      <c r="E61" s="123"/>
      <c r="F61" s="123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92"/>
      <c r="S61" s="6">
        <v>2048</v>
      </c>
      <c r="T61" s="112"/>
    </row>
    <row r="62" spans="1:20" ht="12.75" hidden="1">
      <c r="A62" s="6">
        <v>2007</v>
      </c>
      <c r="B62" s="123"/>
      <c r="C62" s="123"/>
      <c r="D62" s="123"/>
      <c r="E62" s="123"/>
      <c r="F62" s="123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92"/>
      <c r="S62" s="6">
        <v>2049</v>
      </c>
      <c r="T62" s="112"/>
    </row>
    <row r="63" spans="1:20" ht="12.75" hidden="1">
      <c r="A63" s="6">
        <v>2007</v>
      </c>
      <c r="B63" s="123">
        <v>-146794</v>
      </c>
      <c r="C63" s="123">
        <v>-190818</v>
      </c>
      <c r="D63" s="123">
        <v>44024</v>
      </c>
      <c r="E63" s="123">
        <f aca="true" t="shared" si="2" ref="E63:E74">F63+G63+H63+J63</f>
        <v>710887</v>
      </c>
      <c r="F63" s="123">
        <v>667577</v>
      </c>
      <c r="G63" s="154">
        <v>248</v>
      </c>
      <c r="H63" s="154">
        <v>26574</v>
      </c>
      <c r="I63" s="154">
        <v>0</v>
      </c>
      <c r="J63" s="154">
        <v>16488</v>
      </c>
      <c r="K63" s="154"/>
      <c r="L63" s="154">
        <v>143945</v>
      </c>
      <c r="M63" s="154">
        <v>82507</v>
      </c>
      <c r="N63" s="154">
        <f t="shared" si="0"/>
        <v>226452</v>
      </c>
      <c r="O63" s="154">
        <v>108</v>
      </c>
      <c r="P63" s="154">
        <v>33391</v>
      </c>
      <c r="Q63" s="154">
        <v>282975</v>
      </c>
      <c r="R63" s="192">
        <v>-21166</v>
      </c>
      <c r="S63" s="6">
        <v>2050</v>
      </c>
      <c r="T63" s="112"/>
    </row>
    <row r="64" spans="1:20" ht="12.75" hidden="1">
      <c r="A64" s="6">
        <v>2007</v>
      </c>
      <c r="B64" s="123">
        <v>-170669</v>
      </c>
      <c r="C64" s="123">
        <v>-217655</v>
      </c>
      <c r="D64" s="123">
        <v>46985</v>
      </c>
      <c r="E64" s="123">
        <f t="shared" si="2"/>
        <v>724674</v>
      </c>
      <c r="F64" s="123">
        <v>680006</v>
      </c>
      <c r="G64" s="154">
        <v>223</v>
      </c>
      <c r="H64" s="154">
        <v>27628</v>
      </c>
      <c r="I64" s="154">
        <v>0</v>
      </c>
      <c r="J64" s="154">
        <v>16817</v>
      </c>
      <c r="K64" s="154"/>
      <c r="L64" s="154">
        <v>148393</v>
      </c>
      <c r="M64" s="154">
        <v>84862</v>
      </c>
      <c r="N64" s="154">
        <f t="shared" si="0"/>
        <v>233255</v>
      </c>
      <c r="O64" s="154">
        <v>108</v>
      </c>
      <c r="P64" s="154">
        <v>35655</v>
      </c>
      <c r="Q64" s="154">
        <v>285504</v>
      </c>
      <c r="R64" s="192">
        <v>-518</v>
      </c>
      <c r="S64" s="6">
        <v>2051</v>
      </c>
      <c r="T64" s="112"/>
    </row>
    <row r="65" spans="1:20" ht="12.75" hidden="1">
      <c r="A65" s="6">
        <v>2007</v>
      </c>
      <c r="B65" s="123">
        <v>-181010</v>
      </c>
      <c r="C65" s="123">
        <v>-227856</v>
      </c>
      <c r="D65" s="123">
        <v>46846</v>
      </c>
      <c r="E65" s="123">
        <f t="shared" si="2"/>
        <v>735821</v>
      </c>
      <c r="F65" s="123">
        <v>694512</v>
      </c>
      <c r="G65" s="154">
        <v>253</v>
      </c>
      <c r="H65" s="154">
        <v>28368</v>
      </c>
      <c r="I65" s="154">
        <v>2</v>
      </c>
      <c r="J65" s="154">
        <v>12688</v>
      </c>
      <c r="K65" s="154"/>
      <c r="L65" s="154">
        <v>153496</v>
      </c>
      <c r="M65" s="154">
        <v>85867</v>
      </c>
      <c r="N65" s="154">
        <f t="shared" si="0"/>
        <v>239363</v>
      </c>
      <c r="O65" s="154">
        <v>92</v>
      </c>
      <c r="P65" s="154">
        <v>37300</v>
      </c>
      <c r="Q65" s="154">
        <v>283753</v>
      </c>
      <c r="R65" s="192">
        <v>-5686</v>
      </c>
      <c r="S65" s="6">
        <v>2052</v>
      </c>
      <c r="T65" s="112"/>
    </row>
    <row r="66" spans="1:20" ht="12.75" hidden="1">
      <c r="A66" s="6">
        <v>2007</v>
      </c>
      <c r="B66" s="123">
        <v>-190221</v>
      </c>
      <c r="C66" s="123">
        <v>-233632</v>
      </c>
      <c r="D66" s="123">
        <v>43411</v>
      </c>
      <c r="E66" s="123">
        <f t="shared" si="2"/>
        <v>736453</v>
      </c>
      <c r="F66" s="123">
        <v>690719</v>
      </c>
      <c r="G66" s="154">
        <v>142</v>
      </c>
      <c r="H66" s="154">
        <v>30420</v>
      </c>
      <c r="I66" s="154">
        <v>0</v>
      </c>
      <c r="J66" s="154">
        <v>15172</v>
      </c>
      <c r="K66" s="154"/>
      <c r="L66" s="154">
        <v>159343</v>
      </c>
      <c r="M66" s="154">
        <v>78898</v>
      </c>
      <c r="N66" s="154">
        <f t="shared" si="0"/>
        <v>238241</v>
      </c>
      <c r="O66" s="154">
        <v>92</v>
      </c>
      <c r="P66" s="154">
        <v>37431</v>
      </c>
      <c r="Q66" s="154">
        <v>286645</v>
      </c>
      <c r="R66" s="192">
        <v>-16177</v>
      </c>
      <c r="S66" s="6">
        <v>2053</v>
      </c>
      <c r="T66" s="112"/>
    </row>
    <row r="67" spans="1:20" ht="12.75" hidden="1">
      <c r="A67" s="6">
        <v>2007</v>
      </c>
      <c r="B67" s="123">
        <v>-195120</v>
      </c>
      <c r="C67" s="123">
        <v>-237340</v>
      </c>
      <c r="D67" s="123">
        <v>42221</v>
      </c>
      <c r="E67" s="123">
        <f t="shared" si="2"/>
        <v>746536</v>
      </c>
      <c r="F67" s="123">
        <v>699424</v>
      </c>
      <c r="G67" s="154">
        <v>198</v>
      </c>
      <c r="H67" s="154">
        <v>30695</v>
      </c>
      <c r="I67" s="154">
        <v>0</v>
      </c>
      <c r="J67" s="154">
        <v>16219</v>
      </c>
      <c r="K67" s="154"/>
      <c r="L67" s="154">
        <v>158332</v>
      </c>
      <c r="M67" s="154">
        <v>83687</v>
      </c>
      <c r="N67" s="154">
        <f t="shared" si="0"/>
        <v>242019</v>
      </c>
      <c r="O67" s="154">
        <v>34</v>
      </c>
      <c r="P67" s="154">
        <v>37408</v>
      </c>
      <c r="Q67" s="154">
        <v>302472</v>
      </c>
      <c r="R67" s="192">
        <v>-30520</v>
      </c>
      <c r="S67" s="6">
        <v>2054</v>
      </c>
      <c r="T67" s="112"/>
    </row>
    <row r="68" spans="1:20" ht="12.75" hidden="1">
      <c r="A68" s="6">
        <v>2007</v>
      </c>
      <c r="B68" s="123">
        <v>-196048</v>
      </c>
      <c r="C68" s="123">
        <v>-242669</v>
      </c>
      <c r="D68" s="123">
        <v>46621</v>
      </c>
      <c r="E68" s="123">
        <f t="shared" si="2"/>
        <v>757128</v>
      </c>
      <c r="F68" s="123">
        <v>707727</v>
      </c>
      <c r="G68" s="154">
        <v>431</v>
      </c>
      <c r="H68" s="154">
        <v>28245</v>
      </c>
      <c r="I68" s="154">
        <v>0</v>
      </c>
      <c r="J68" s="154">
        <v>20725</v>
      </c>
      <c r="K68" s="154"/>
      <c r="L68" s="154">
        <v>162590</v>
      </c>
      <c r="M68" s="154">
        <v>97331</v>
      </c>
      <c r="N68" s="154">
        <f t="shared" si="0"/>
        <v>259921</v>
      </c>
      <c r="O68" s="154">
        <v>38</v>
      </c>
      <c r="P68" s="154">
        <v>38555</v>
      </c>
      <c r="Q68" s="154">
        <v>308163</v>
      </c>
      <c r="R68" s="192">
        <v>-45597</v>
      </c>
      <c r="S68" s="6">
        <v>2055</v>
      </c>
      <c r="T68" s="112"/>
    </row>
    <row r="69" spans="1:20" ht="12.75" hidden="1">
      <c r="A69" s="6">
        <v>2007</v>
      </c>
      <c r="B69" s="123">
        <v>-212579</v>
      </c>
      <c r="C69" s="123">
        <v>-264119</v>
      </c>
      <c r="D69" s="123">
        <v>51539</v>
      </c>
      <c r="E69" s="123">
        <f t="shared" si="2"/>
        <v>764190</v>
      </c>
      <c r="F69" s="123">
        <v>717186</v>
      </c>
      <c r="G69" s="154">
        <v>301</v>
      </c>
      <c r="H69" s="154">
        <v>33119</v>
      </c>
      <c r="I69" s="154">
        <v>0</v>
      </c>
      <c r="J69" s="154">
        <v>13584</v>
      </c>
      <c r="K69" s="154"/>
      <c r="L69" s="154">
        <v>157248</v>
      </c>
      <c r="M69" s="154">
        <v>101014</v>
      </c>
      <c r="N69" s="154">
        <f t="shared" si="0"/>
        <v>258262</v>
      </c>
      <c r="O69" s="154">
        <v>35</v>
      </c>
      <c r="P69" s="154">
        <v>40469</v>
      </c>
      <c r="Q69" s="154">
        <v>319245</v>
      </c>
      <c r="R69" s="192">
        <v>-66401</v>
      </c>
      <c r="S69" s="6">
        <v>2056</v>
      </c>
      <c r="T69" s="112"/>
    </row>
    <row r="70" spans="1:20" ht="12.75" hidden="1">
      <c r="A70" s="6">
        <v>2007</v>
      </c>
      <c r="B70" s="123">
        <v>-214678</v>
      </c>
      <c r="C70" s="123">
        <v>-262258</v>
      </c>
      <c r="D70" s="123">
        <v>47581</v>
      </c>
      <c r="E70" s="123">
        <f t="shared" si="2"/>
        <v>771458</v>
      </c>
      <c r="F70" s="123">
        <v>728702</v>
      </c>
      <c r="G70" s="154">
        <v>238</v>
      </c>
      <c r="H70" s="154">
        <v>32534</v>
      </c>
      <c r="I70" s="154">
        <v>0</v>
      </c>
      <c r="J70" s="154">
        <v>9984</v>
      </c>
      <c r="K70" s="154"/>
      <c r="L70" s="154">
        <v>165551</v>
      </c>
      <c r="M70" s="154">
        <v>97848</v>
      </c>
      <c r="N70" s="154">
        <f t="shared" si="0"/>
        <v>263399</v>
      </c>
      <c r="O70" s="154">
        <v>95</v>
      </c>
      <c r="P70" s="154">
        <v>40106</v>
      </c>
      <c r="Q70" s="154">
        <v>320217</v>
      </c>
      <c r="R70" s="192">
        <v>-67037</v>
      </c>
      <c r="S70" s="6">
        <v>2057</v>
      </c>
      <c r="T70" s="112"/>
    </row>
    <row r="71" spans="1:20" ht="12.75" hidden="1">
      <c r="A71" s="6">
        <v>2007</v>
      </c>
      <c r="B71" s="123">
        <v>-232886</v>
      </c>
      <c r="C71" s="123">
        <v>-227472</v>
      </c>
      <c r="D71" s="123">
        <v>44586</v>
      </c>
      <c r="E71" s="123">
        <f t="shared" si="2"/>
        <v>774488</v>
      </c>
      <c r="F71" s="123">
        <v>733796</v>
      </c>
      <c r="G71" s="154">
        <v>363</v>
      </c>
      <c r="H71" s="154">
        <v>32131</v>
      </c>
      <c r="I71" s="154">
        <v>0</v>
      </c>
      <c r="J71" s="154">
        <v>8198</v>
      </c>
      <c r="K71" s="154"/>
      <c r="L71" s="154">
        <v>167997</v>
      </c>
      <c r="M71" s="154">
        <v>95958</v>
      </c>
      <c r="N71" s="154">
        <f t="shared" si="0"/>
        <v>263955</v>
      </c>
      <c r="O71" s="154">
        <v>53</v>
      </c>
      <c r="P71" s="154">
        <v>40985</v>
      </c>
      <c r="Q71" s="154">
        <v>324016</v>
      </c>
      <c r="R71" s="192">
        <v>-87406</v>
      </c>
      <c r="S71" s="6">
        <v>2058</v>
      </c>
      <c r="T71" s="112"/>
    </row>
    <row r="72" spans="1:20" ht="12.75" hidden="1">
      <c r="A72" s="6">
        <v>2007</v>
      </c>
      <c r="B72" s="123">
        <v>-237003</v>
      </c>
      <c r="C72" s="123">
        <v>-286053</v>
      </c>
      <c r="D72" s="123">
        <v>49050</v>
      </c>
      <c r="E72" s="123">
        <f t="shared" si="2"/>
        <v>787306</v>
      </c>
      <c r="F72" s="123">
        <v>746880</v>
      </c>
      <c r="G72" s="154">
        <v>368</v>
      </c>
      <c r="H72" s="154">
        <v>34333</v>
      </c>
      <c r="I72" s="154">
        <v>0</v>
      </c>
      <c r="J72" s="154">
        <v>5725</v>
      </c>
      <c r="K72" s="154"/>
      <c r="L72" s="154">
        <v>173252</v>
      </c>
      <c r="M72" s="154">
        <v>93930</v>
      </c>
      <c r="N72" s="154">
        <f t="shared" si="0"/>
        <v>267182</v>
      </c>
      <c r="O72" s="154">
        <v>35</v>
      </c>
      <c r="P72" s="154">
        <v>44745</v>
      </c>
      <c r="Q72" s="154">
        <v>318000</v>
      </c>
      <c r="R72" s="192">
        <v>-79658</v>
      </c>
      <c r="S72" s="6">
        <v>2059</v>
      </c>
      <c r="T72" s="112"/>
    </row>
    <row r="73" spans="1:20" ht="12.75" hidden="1">
      <c r="A73" s="6">
        <v>2007</v>
      </c>
      <c r="B73" s="123">
        <v>-244208</v>
      </c>
      <c r="C73" s="123">
        <v>-302881</v>
      </c>
      <c r="D73" s="123">
        <v>58674</v>
      </c>
      <c r="E73" s="123">
        <f t="shared" si="2"/>
        <v>796299</v>
      </c>
      <c r="F73" s="123">
        <v>750511</v>
      </c>
      <c r="G73" s="154">
        <v>491</v>
      </c>
      <c r="H73" s="154">
        <v>34809</v>
      </c>
      <c r="I73" s="154">
        <v>0</v>
      </c>
      <c r="J73" s="154">
        <v>10488</v>
      </c>
      <c r="K73" s="154"/>
      <c r="L73" s="154">
        <v>177891</v>
      </c>
      <c r="M73" s="154">
        <v>104563</v>
      </c>
      <c r="N73" s="154">
        <f t="shared" si="0"/>
        <v>282454</v>
      </c>
      <c r="O73" s="154">
        <v>26</v>
      </c>
      <c r="P73" s="154">
        <v>45689</v>
      </c>
      <c r="Q73" s="154">
        <v>319401</v>
      </c>
      <c r="R73" s="192">
        <v>-95478</v>
      </c>
      <c r="S73" s="6">
        <v>2060</v>
      </c>
      <c r="T73" s="112"/>
    </row>
    <row r="74" spans="1:20" ht="12.75" hidden="1">
      <c r="A74" s="6">
        <v>2007</v>
      </c>
      <c r="B74" s="123">
        <v>-202278</v>
      </c>
      <c r="C74" s="123">
        <v>-249573</v>
      </c>
      <c r="D74" s="123">
        <v>47295</v>
      </c>
      <c r="E74" s="123">
        <f t="shared" si="2"/>
        <v>774627</v>
      </c>
      <c r="F74" s="123">
        <v>727016</v>
      </c>
      <c r="G74" s="154">
        <v>499</v>
      </c>
      <c r="H74" s="154">
        <v>34943</v>
      </c>
      <c r="I74" s="154">
        <v>0</v>
      </c>
      <c r="J74" s="154">
        <v>12169</v>
      </c>
      <c r="K74" s="154"/>
      <c r="L74" s="154">
        <v>189437</v>
      </c>
      <c r="M74" s="154">
        <v>101427</v>
      </c>
      <c r="N74" s="154">
        <f t="shared" si="0"/>
        <v>290864</v>
      </c>
      <c r="O74" s="154">
        <v>31</v>
      </c>
      <c r="P74" s="154">
        <v>43533</v>
      </c>
      <c r="Q74" s="154">
        <v>322443</v>
      </c>
      <c r="R74" s="192">
        <v>-84521</v>
      </c>
      <c r="S74" s="6">
        <v>2061</v>
      </c>
      <c r="T74" s="112"/>
    </row>
    <row r="75" spans="1:19" ht="12.75" hidden="1">
      <c r="A75" s="6">
        <v>2007</v>
      </c>
      <c r="R75" s="156"/>
      <c r="S75" s="6">
        <v>2062</v>
      </c>
    </row>
    <row r="76" spans="1:20" ht="12.75" customHeight="1" hidden="1">
      <c r="A76" s="6">
        <v>2007</v>
      </c>
      <c r="B76" s="123"/>
      <c r="C76" s="123"/>
      <c r="D76" s="123"/>
      <c r="E76" s="123"/>
      <c r="F76" s="123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92"/>
      <c r="S76" s="6">
        <v>2063</v>
      </c>
      <c r="T76" s="112"/>
    </row>
    <row r="77" spans="1:20" ht="12.75" customHeight="1" hidden="1">
      <c r="A77" s="6">
        <v>2007</v>
      </c>
      <c r="B77" s="123"/>
      <c r="C77" s="123"/>
      <c r="D77" s="123"/>
      <c r="E77" s="123"/>
      <c r="F77" s="123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92"/>
      <c r="S77" s="6">
        <v>2064</v>
      </c>
      <c r="T77" s="112"/>
    </row>
    <row r="78" spans="1:20" ht="12.75" customHeight="1" hidden="1">
      <c r="A78" s="6">
        <v>2007</v>
      </c>
      <c r="B78" s="123"/>
      <c r="C78" s="123"/>
      <c r="D78" s="123"/>
      <c r="E78" s="123"/>
      <c r="F78" s="123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92"/>
      <c r="S78" s="6">
        <v>2065</v>
      </c>
      <c r="T78" s="112"/>
    </row>
    <row r="79" spans="1:20" ht="12.75" customHeight="1" hidden="1">
      <c r="A79" s="6">
        <v>2007</v>
      </c>
      <c r="B79" s="123"/>
      <c r="C79" s="123"/>
      <c r="D79" s="123"/>
      <c r="E79" s="123"/>
      <c r="F79" s="123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92"/>
      <c r="S79" s="6">
        <v>2066</v>
      </c>
      <c r="T79" s="112"/>
    </row>
    <row r="80" spans="1:20" ht="12.75" customHeight="1" hidden="1">
      <c r="A80" s="6">
        <v>2007</v>
      </c>
      <c r="B80" s="123">
        <v>-180654</v>
      </c>
      <c r="C80" s="123">
        <v>-232871</v>
      </c>
      <c r="D80" s="123">
        <v>52217</v>
      </c>
      <c r="E80" s="123">
        <f aca="true" t="shared" si="3" ref="E80:E91">F80+G80+H80+J80</f>
        <v>763299</v>
      </c>
      <c r="F80" s="123">
        <v>713463</v>
      </c>
      <c r="G80" s="154">
        <v>273</v>
      </c>
      <c r="H80" s="154">
        <v>37635</v>
      </c>
      <c r="I80" s="154">
        <v>0</v>
      </c>
      <c r="J80" s="154">
        <v>11928</v>
      </c>
      <c r="K80" s="154"/>
      <c r="L80" s="154">
        <v>180836</v>
      </c>
      <c r="M80" s="154">
        <v>101735</v>
      </c>
      <c r="N80" s="154">
        <v>282571</v>
      </c>
      <c r="O80" s="154">
        <v>27</v>
      </c>
      <c r="P80" s="154">
        <v>41320</v>
      </c>
      <c r="Q80" s="154">
        <v>320040</v>
      </c>
      <c r="R80" s="192">
        <v>-61313</v>
      </c>
      <c r="S80" s="6">
        <v>2067</v>
      </c>
      <c r="T80" s="112"/>
    </row>
    <row r="81" spans="1:20" ht="12.75" customHeight="1" hidden="1">
      <c r="A81" s="6">
        <v>2007</v>
      </c>
      <c r="B81" s="123">
        <v>-190592</v>
      </c>
      <c r="C81" s="123">
        <v>-250889</v>
      </c>
      <c r="D81" s="123">
        <v>60297</v>
      </c>
      <c r="E81" s="123">
        <f t="shared" si="3"/>
        <v>788399</v>
      </c>
      <c r="F81" s="123">
        <v>739574</v>
      </c>
      <c r="G81" s="154">
        <v>328</v>
      </c>
      <c r="H81" s="154">
        <v>39632</v>
      </c>
      <c r="I81" s="154">
        <v>0</v>
      </c>
      <c r="J81" s="154">
        <v>8865</v>
      </c>
      <c r="K81" s="154"/>
      <c r="L81" s="154">
        <v>191448</v>
      </c>
      <c r="M81" s="154">
        <v>109085</v>
      </c>
      <c r="N81" s="154">
        <v>300533</v>
      </c>
      <c r="O81" s="154">
        <v>35</v>
      </c>
      <c r="P81" s="154">
        <v>42401</v>
      </c>
      <c r="Q81" s="154">
        <v>327879</v>
      </c>
      <c r="R81" s="192">
        <v>-73039</v>
      </c>
      <c r="S81" s="6">
        <v>2068</v>
      </c>
      <c r="T81" s="112"/>
    </row>
    <row r="82" spans="1:20" ht="12.75" customHeight="1" hidden="1">
      <c r="A82" s="6">
        <v>2007</v>
      </c>
      <c r="B82" s="123">
        <v>-170204</v>
      </c>
      <c r="C82" s="123">
        <v>-234472</v>
      </c>
      <c r="D82" s="123">
        <v>64268</v>
      </c>
      <c r="E82" s="123">
        <f t="shared" si="3"/>
        <v>766750</v>
      </c>
      <c r="F82" s="123">
        <v>714333</v>
      </c>
      <c r="G82" s="154">
        <v>425</v>
      </c>
      <c r="H82" s="154">
        <v>44433</v>
      </c>
      <c r="I82" s="154">
        <v>0</v>
      </c>
      <c r="J82" s="154">
        <v>7559</v>
      </c>
      <c r="K82" s="154"/>
      <c r="L82" s="154">
        <v>191173</v>
      </c>
      <c r="M82" s="154">
        <v>110289</v>
      </c>
      <c r="N82" s="154">
        <v>301463</v>
      </c>
      <c r="O82" s="154">
        <v>95</v>
      </c>
      <c r="P82" s="154">
        <v>42442</v>
      </c>
      <c r="Q82" s="154">
        <v>332017</v>
      </c>
      <c r="R82" s="192">
        <v>-79471</v>
      </c>
      <c r="S82" s="6">
        <v>2069</v>
      </c>
      <c r="T82" s="112"/>
    </row>
    <row r="83" spans="1:20" ht="12.75" customHeight="1" hidden="1">
      <c r="A83" s="6">
        <v>2007</v>
      </c>
      <c r="B83" s="123">
        <v>-277207</v>
      </c>
      <c r="C83" s="123">
        <v>-335424</v>
      </c>
      <c r="D83" s="123">
        <v>58217</v>
      </c>
      <c r="E83" s="123">
        <f t="shared" si="3"/>
        <v>768324</v>
      </c>
      <c r="F83" s="123">
        <v>712180</v>
      </c>
      <c r="G83" s="154">
        <v>508</v>
      </c>
      <c r="H83" s="154">
        <v>44382</v>
      </c>
      <c r="I83" s="154">
        <v>0</v>
      </c>
      <c r="J83" s="154">
        <v>11254</v>
      </c>
      <c r="K83" s="154"/>
      <c r="L83" s="154">
        <v>187870</v>
      </c>
      <c r="M83" s="154">
        <v>111513</v>
      </c>
      <c r="N83" s="154">
        <v>299383</v>
      </c>
      <c r="O83" s="154">
        <v>83</v>
      </c>
      <c r="P83" s="154">
        <v>42186</v>
      </c>
      <c r="Q83" s="154">
        <v>334048</v>
      </c>
      <c r="R83" s="192">
        <v>-84584</v>
      </c>
      <c r="S83" s="6">
        <v>2070</v>
      </c>
      <c r="T83" s="112"/>
    </row>
    <row r="84" spans="1:20" ht="12.75" customHeight="1" hidden="1">
      <c r="A84" s="6">
        <v>2007</v>
      </c>
      <c r="B84" s="123">
        <v>-181515</v>
      </c>
      <c r="C84" s="123">
        <v>-235028</v>
      </c>
      <c r="D84" s="123">
        <v>53513</v>
      </c>
      <c r="E84" s="123">
        <f t="shared" si="3"/>
        <v>787606</v>
      </c>
      <c r="F84" s="123">
        <v>733442</v>
      </c>
      <c r="G84" s="154">
        <v>518</v>
      </c>
      <c r="H84" s="154">
        <v>41543</v>
      </c>
      <c r="I84" s="154">
        <v>0</v>
      </c>
      <c r="J84" s="154">
        <v>12103</v>
      </c>
      <c r="K84" s="154"/>
      <c r="L84" s="154">
        <v>197129</v>
      </c>
      <c r="M84" s="154">
        <v>106718</v>
      </c>
      <c r="N84" s="154">
        <v>303847</v>
      </c>
      <c r="O84" s="154">
        <v>24</v>
      </c>
      <c r="P84" s="154">
        <v>40692</v>
      </c>
      <c r="Q84" s="154">
        <v>299041</v>
      </c>
      <c r="R84" s="192">
        <v>-37515</v>
      </c>
      <c r="S84" s="6">
        <v>2071</v>
      </c>
      <c r="T84" s="112"/>
    </row>
    <row r="85" spans="1:20" ht="12.75" customHeight="1" hidden="1">
      <c r="A85" s="6">
        <v>2007</v>
      </c>
      <c r="B85" s="123">
        <v>-199064</v>
      </c>
      <c r="C85" s="123">
        <v>-251466</v>
      </c>
      <c r="D85" s="123">
        <v>52402</v>
      </c>
      <c r="E85" s="123">
        <f t="shared" si="3"/>
        <v>805236</v>
      </c>
      <c r="F85" s="123">
        <v>752133</v>
      </c>
      <c r="G85" s="154">
        <v>100</v>
      </c>
      <c r="H85" s="154">
        <v>41770</v>
      </c>
      <c r="I85" s="154">
        <v>0</v>
      </c>
      <c r="J85" s="154">
        <v>11233</v>
      </c>
      <c r="K85" s="154"/>
      <c r="L85" s="154">
        <v>191105</v>
      </c>
      <c r="M85" s="154">
        <v>117899</v>
      </c>
      <c r="N85" s="154">
        <v>309005</v>
      </c>
      <c r="O85" s="154">
        <v>166</v>
      </c>
      <c r="P85" s="154">
        <v>39887</v>
      </c>
      <c r="Q85" s="154">
        <v>306213</v>
      </c>
      <c r="R85" s="192">
        <v>-49099</v>
      </c>
      <c r="S85" s="6">
        <v>2072</v>
      </c>
      <c r="T85" s="112"/>
    </row>
    <row r="86" spans="1:20" ht="12.75" customHeight="1" hidden="1">
      <c r="A86" s="6">
        <v>2007</v>
      </c>
      <c r="B86" s="123">
        <v>-195484</v>
      </c>
      <c r="C86" s="123">
        <v>-255168</v>
      </c>
      <c r="D86" s="123">
        <v>59684</v>
      </c>
      <c r="E86" s="123">
        <f t="shared" si="3"/>
        <v>793153</v>
      </c>
      <c r="F86" s="123">
        <v>738077</v>
      </c>
      <c r="G86" s="154">
        <v>712</v>
      </c>
      <c r="H86" s="154">
        <v>43494</v>
      </c>
      <c r="I86" s="154">
        <v>0</v>
      </c>
      <c r="J86" s="154">
        <v>10870</v>
      </c>
      <c r="K86" s="154"/>
      <c r="L86" s="154">
        <v>191466</v>
      </c>
      <c r="M86" s="154">
        <v>117702</v>
      </c>
      <c r="N86" s="154">
        <v>309167</v>
      </c>
      <c r="O86" s="154">
        <v>101</v>
      </c>
      <c r="P86" s="154">
        <v>40547</v>
      </c>
      <c r="Q86" s="154">
        <v>312046</v>
      </c>
      <c r="R86" s="192">
        <v>-64192</v>
      </c>
      <c r="S86" s="6">
        <v>2073</v>
      </c>
      <c r="T86" s="112"/>
    </row>
    <row r="87" spans="1:20" ht="12.75" customHeight="1" hidden="1">
      <c r="A87" s="6">
        <v>2007</v>
      </c>
      <c r="B87" s="123">
        <v>-216324</v>
      </c>
      <c r="C87" s="123">
        <v>-267753</v>
      </c>
      <c r="D87" s="123">
        <v>51429</v>
      </c>
      <c r="E87" s="123">
        <f t="shared" si="3"/>
        <v>814925</v>
      </c>
      <c r="F87" s="123">
        <v>754609</v>
      </c>
      <c r="G87" s="154">
        <v>755</v>
      </c>
      <c r="H87" s="154">
        <v>47283</v>
      </c>
      <c r="I87" s="154">
        <v>0</v>
      </c>
      <c r="J87" s="154">
        <v>12278</v>
      </c>
      <c r="K87" s="154"/>
      <c r="L87" s="154">
        <v>198991</v>
      </c>
      <c r="M87" s="154">
        <v>110923</v>
      </c>
      <c r="N87" s="154">
        <v>309914</v>
      </c>
      <c r="O87" s="154">
        <v>97</v>
      </c>
      <c r="P87" s="154">
        <v>40593</v>
      </c>
      <c r="Q87" s="154">
        <v>317273</v>
      </c>
      <c r="R87" s="192">
        <v>-69276</v>
      </c>
      <c r="S87" s="6">
        <v>2074</v>
      </c>
      <c r="T87" s="112"/>
    </row>
    <row r="88" spans="1:20" ht="12.75" customHeight="1" hidden="1">
      <c r="A88" s="6">
        <v>2007</v>
      </c>
      <c r="B88" s="123">
        <v>-190721</v>
      </c>
      <c r="C88" s="123">
        <v>-248592</v>
      </c>
      <c r="D88" s="123">
        <v>57872</v>
      </c>
      <c r="E88" s="123">
        <f t="shared" si="3"/>
        <v>800910</v>
      </c>
      <c r="F88" s="123">
        <v>743053</v>
      </c>
      <c r="G88" s="154">
        <v>830</v>
      </c>
      <c r="H88" s="154">
        <v>48277</v>
      </c>
      <c r="I88" s="154">
        <v>0</v>
      </c>
      <c r="J88" s="154">
        <v>8750</v>
      </c>
      <c r="K88" s="154"/>
      <c r="L88" s="154">
        <v>199492</v>
      </c>
      <c r="M88" s="154">
        <v>118895</v>
      </c>
      <c r="N88" s="154">
        <v>318386</v>
      </c>
      <c r="O88" s="154">
        <v>85</v>
      </c>
      <c r="P88" s="154">
        <v>41037</v>
      </c>
      <c r="Q88" s="154">
        <v>320693</v>
      </c>
      <c r="R88" s="192">
        <v>-70012</v>
      </c>
      <c r="S88" s="6">
        <v>2075</v>
      </c>
      <c r="T88" s="112"/>
    </row>
    <row r="89" spans="1:20" ht="12.75" customHeight="1" hidden="1">
      <c r="A89" s="6">
        <v>2007</v>
      </c>
      <c r="B89" s="123">
        <v>-176444</v>
      </c>
      <c r="C89" s="123">
        <v>-236412</v>
      </c>
      <c r="D89" s="123">
        <v>59968</v>
      </c>
      <c r="E89" s="123">
        <f t="shared" si="3"/>
        <v>793430</v>
      </c>
      <c r="F89" s="123">
        <v>727215</v>
      </c>
      <c r="G89" s="154">
        <v>789</v>
      </c>
      <c r="H89" s="154">
        <v>52945</v>
      </c>
      <c r="I89" s="154">
        <v>0</v>
      </c>
      <c r="J89" s="154">
        <v>12481</v>
      </c>
      <c r="K89" s="154"/>
      <c r="L89" s="154">
        <v>208004</v>
      </c>
      <c r="M89" s="154">
        <v>118329</v>
      </c>
      <c r="N89" s="154">
        <v>326333</v>
      </c>
      <c r="O89" s="154">
        <v>101</v>
      </c>
      <c r="P89" s="154">
        <v>41366</v>
      </c>
      <c r="Q89" s="154">
        <v>322431</v>
      </c>
      <c r="R89" s="192">
        <v>-73245</v>
      </c>
      <c r="S89" s="6">
        <v>2076</v>
      </c>
      <c r="T89" s="112"/>
    </row>
    <row r="90" spans="1:20" ht="12.75" customHeight="1" hidden="1">
      <c r="A90" s="6">
        <v>2007</v>
      </c>
      <c r="B90" s="123">
        <v>-173586</v>
      </c>
      <c r="C90" s="123">
        <v>-232506</v>
      </c>
      <c r="D90" s="123">
        <v>58920</v>
      </c>
      <c r="E90" s="123">
        <f t="shared" si="3"/>
        <v>810916</v>
      </c>
      <c r="F90" s="123">
        <v>740891</v>
      </c>
      <c r="G90" s="154">
        <v>694</v>
      </c>
      <c r="H90" s="154">
        <v>52447</v>
      </c>
      <c r="I90" s="154">
        <v>0</v>
      </c>
      <c r="J90" s="154">
        <v>16884</v>
      </c>
      <c r="K90" s="154"/>
      <c r="L90" s="154">
        <v>227665</v>
      </c>
      <c r="M90" s="154">
        <v>125876</v>
      </c>
      <c r="N90" s="154">
        <v>353540</v>
      </c>
      <c r="O90" s="154">
        <v>117</v>
      </c>
      <c r="P90" s="154">
        <v>42311</v>
      </c>
      <c r="Q90" s="154">
        <v>330250</v>
      </c>
      <c r="R90" s="192">
        <v>-88887</v>
      </c>
      <c r="S90" s="6">
        <v>2077</v>
      </c>
      <c r="T90" s="112"/>
    </row>
    <row r="91" spans="1:20" ht="12.75" customHeight="1" hidden="1">
      <c r="A91" s="6">
        <v>2007</v>
      </c>
      <c r="B91" s="123">
        <v>-140521</v>
      </c>
      <c r="C91" s="123">
        <v>-198904</v>
      </c>
      <c r="D91" s="123">
        <v>58383</v>
      </c>
      <c r="E91" s="123">
        <f t="shared" si="3"/>
        <v>795930</v>
      </c>
      <c r="F91" s="123">
        <v>721414</v>
      </c>
      <c r="G91" s="154">
        <v>963</v>
      </c>
      <c r="H91" s="154">
        <v>56719</v>
      </c>
      <c r="I91" s="154">
        <v>0</v>
      </c>
      <c r="J91" s="154">
        <v>16834</v>
      </c>
      <c r="K91" s="154"/>
      <c r="L91" s="154">
        <v>247478</v>
      </c>
      <c r="M91" s="154">
        <v>129360</v>
      </c>
      <c r="N91" s="154">
        <f>L91+M91</f>
        <v>376838</v>
      </c>
      <c r="O91" s="154">
        <v>103</v>
      </c>
      <c r="P91" s="154">
        <v>42959</v>
      </c>
      <c r="Q91" s="154">
        <v>337714</v>
      </c>
      <c r="R91" s="192">
        <v>-102204</v>
      </c>
      <c r="S91" s="6">
        <v>2078</v>
      </c>
      <c r="T91" s="112"/>
    </row>
    <row r="92" spans="1:21" ht="12.75" hidden="1">
      <c r="A92" s="6">
        <v>2007</v>
      </c>
      <c r="E92" s="123"/>
      <c r="R92" s="156"/>
      <c r="S92" s="6">
        <v>2079</v>
      </c>
      <c r="T92" s="6"/>
      <c r="U92" s="6"/>
    </row>
    <row r="93" spans="1:21" ht="12.75" hidden="1">
      <c r="A93" s="6">
        <v>2007</v>
      </c>
      <c r="E93" s="123"/>
      <c r="R93" s="156"/>
      <c r="S93" s="6">
        <v>2080</v>
      </c>
      <c r="T93" s="6"/>
      <c r="U93" s="6"/>
    </row>
    <row r="94" spans="1:21" ht="12.75" hidden="1">
      <c r="A94" s="6">
        <v>2007</v>
      </c>
      <c r="E94" s="123"/>
      <c r="R94" s="156"/>
      <c r="S94" s="6">
        <v>2081</v>
      </c>
      <c r="T94" s="6"/>
      <c r="U94" s="6"/>
    </row>
    <row r="95" spans="1:21" ht="12.75" hidden="1">
      <c r="A95" s="6">
        <v>2007</v>
      </c>
      <c r="B95" s="123">
        <v>-158493</v>
      </c>
      <c r="C95" s="123">
        <v>-217250</v>
      </c>
      <c r="D95" s="123">
        <v>58757</v>
      </c>
      <c r="E95" s="123">
        <v>805441</v>
      </c>
      <c r="F95" s="123">
        <v>735390</v>
      </c>
      <c r="G95" s="154">
        <v>1600</v>
      </c>
      <c r="H95" s="154">
        <v>53958</v>
      </c>
      <c r="I95" s="154">
        <v>0</v>
      </c>
      <c r="J95" s="154">
        <v>14493</v>
      </c>
      <c r="K95" s="154"/>
      <c r="L95" s="154">
        <v>239553</v>
      </c>
      <c r="M95" s="154">
        <v>133850</v>
      </c>
      <c r="N95" s="154">
        <v>373403</v>
      </c>
      <c r="O95" s="154">
        <v>103</v>
      </c>
      <c r="P95" s="154">
        <v>43449</v>
      </c>
      <c r="Q95" s="154">
        <v>323506</v>
      </c>
      <c r="R95" s="192">
        <v>-93562</v>
      </c>
      <c r="S95" s="6">
        <v>2082</v>
      </c>
      <c r="T95" s="6"/>
      <c r="U95" s="6"/>
    </row>
    <row r="96" spans="1:21" ht="12.75" hidden="1">
      <c r="A96" s="6">
        <v>2007</v>
      </c>
      <c r="B96" s="123">
        <v>-162409</v>
      </c>
      <c r="C96" s="123">
        <v>-227980</v>
      </c>
      <c r="D96" s="123">
        <v>65571</v>
      </c>
      <c r="E96" s="123">
        <v>817092</v>
      </c>
      <c r="F96" s="123">
        <v>739546</v>
      </c>
      <c r="G96" s="154">
        <v>1631</v>
      </c>
      <c r="H96" s="154">
        <v>59272</v>
      </c>
      <c r="I96" s="154">
        <v>0</v>
      </c>
      <c r="J96" s="154">
        <v>16644</v>
      </c>
      <c r="K96" s="154"/>
      <c r="L96" s="154">
        <v>245396</v>
      </c>
      <c r="M96" s="154">
        <v>138100</v>
      </c>
      <c r="N96" s="154">
        <v>383496</v>
      </c>
      <c r="O96" s="154">
        <v>44</v>
      </c>
      <c r="P96" s="154">
        <v>43217</v>
      </c>
      <c r="Q96" s="154">
        <v>330140</v>
      </c>
      <c r="R96" s="192">
        <v>-102215</v>
      </c>
      <c r="S96" s="6">
        <v>2083</v>
      </c>
      <c r="T96" s="6"/>
      <c r="U96" s="6"/>
    </row>
    <row r="97" spans="1:21" ht="12.75" hidden="1">
      <c r="A97" s="6">
        <v>2007</v>
      </c>
      <c r="B97" s="123">
        <v>-157820</v>
      </c>
      <c r="C97" s="123">
        <v>-220558</v>
      </c>
      <c r="D97" s="123">
        <v>62738</v>
      </c>
      <c r="E97" s="123">
        <v>815861</v>
      </c>
      <c r="F97" s="123">
        <v>738320</v>
      </c>
      <c r="G97" s="154">
        <v>1432</v>
      </c>
      <c r="H97" s="154">
        <v>64178</v>
      </c>
      <c r="I97" s="154">
        <v>0</v>
      </c>
      <c r="J97" s="154">
        <v>11931</v>
      </c>
      <c r="K97" s="154"/>
      <c r="L97" s="154">
        <v>244501</v>
      </c>
      <c r="M97" s="154">
        <v>132743</v>
      </c>
      <c r="N97" s="154">
        <v>377244</v>
      </c>
      <c r="O97" s="154">
        <v>49</v>
      </c>
      <c r="P97" s="154">
        <v>46481</v>
      </c>
      <c r="Q97" s="154">
        <v>332801</v>
      </c>
      <c r="R97" s="192">
        <v>-98535</v>
      </c>
      <c r="S97" s="6">
        <v>2084</v>
      </c>
      <c r="T97" s="6"/>
      <c r="U97" s="6"/>
    </row>
    <row r="98" spans="1:21" ht="12.75" hidden="1">
      <c r="A98" s="6">
        <v>2007</v>
      </c>
      <c r="B98" s="123">
        <v>-159404</v>
      </c>
      <c r="C98" s="123">
        <v>-229967</v>
      </c>
      <c r="D98" s="123">
        <v>70563</v>
      </c>
      <c r="E98" s="123">
        <v>819906</v>
      </c>
      <c r="F98" s="123">
        <v>739758</v>
      </c>
      <c r="G98" s="154">
        <v>1484</v>
      </c>
      <c r="H98" s="154">
        <v>62607</v>
      </c>
      <c r="I98" s="154">
        <v>0</v>
      </c>
      <c r="J98" s="154">
        <v>16058</v>
      </c>
      <c r="K98" s="154"/>
      <c r="L98" s="154">
        <v>247051</v>
      </c>
      <c r="M98" s="154">
        <v>143009</v>
      </c>
      <c r="N98" s="154">
        <v>390060</v>
      </c>
      <c r="O98" s="154">
        <v>49</v>
      </c>
      <c r="P98" s="154">
        <v>45180</v>
      </c>
      <c r="Q98" s="154">
        <v>320774</v>
      </c>
      <c r="R98" s="192">
        <v>-95561</v>
      </c>
      <c r="S98" s="6">
        <v>2085</v>
      </c>
      <c r="T98" s="6"/>
      <c r="U98" s="6"/>
    </row>
    <row r="99" spans="1:21" ht="12.75" hidden="1">
      <c r="A99" s="6">
        <v>2007</v>
      </c>
      <c r="B99" s="123">
        <v>-189292</v>
      </c>
      <c r="C99" s="123">
        <v>-253146</v>
      </c>
      <c r="D99" s="123">
        <v>63854</v>
      </c>
      <c r="E99" s="123">
        <v>840159</v>
      </c>
      <c r="F99" s="123">
        <v>761828</v>
      </c>
      <c r="G99" s="154">
        <v>2174</v>
      </c>
      <c r="H99" s="154">
        <v>61433</v>
      </c>
      <c r="I99" s="154">
        <v>0</v>
      </c>
      <c r="J99" s="154">
        <v>14723</v>
      </c>
      <c r="K99" s="154"/>
      <c r="L99" s="154">
        <v>252753</v>
      </c>
      <c r="M99" s="154">
        <v>140034</v>
      </c>
      <c r="N99" s="154">
        <v>392787</v>
      </c>
      <c r="O99" s="154">
        <v>109</v>
      </c>
      <c r="P99" s="154">
        <v>46858</v>
      </c>
      <c r="Q99" s="154">
        <v>292007</v>
      </c>
      <c r="R99" s="192">
        <v>-80895</v>
      </c>
      <c r="S99" s="6">
        <v>2086</v>
      </c>
      <c r="T99" s="6"/>
      <c r="U99" s="6"/>
    </row>
    <row r="100" spans="1:21" ht="12.75" hidden="1">
      <c r="A100" s="6">
        <v>2007</v>
      </c>
      <c r="B100" s="123">
        <v>-159334</v>
      </c>
      <c r="C100" s="123">
        <v>-235947</v>
      </c>
      <c r="D100" s="123">
        <v>76613</v>
      </c>
      <c r="E100" s="123">
        <v>830089</v>
      </c>
      <c r="F100" s="123">
        <v>753596</v>
      </c>
      <c r="G100" s="154">
        <v>2754</v>
      </c>
      <c r="H100" s="154">
        <v>62184</v>
      </c>
      <c r="I100" s="154">
        <v>0</v>
      </c>
      <c r="J100" s="154">
        <v>11555</v>
      </c>
      <c r="K100" s="154"/>
      <c r="L100" s="154">
        <v>251257</v>
      </c>
      <c r="M100" s="154">
        <v>152656</v>
      </c>
      <c r="N100" s="154">
        <v>403913</v>
      </c>
      <c r="O100" s="154">
        <v>104</v>
      </c>
      <c r="P100" s="154">
        <v>45549</v>
      </c>
      <c r="Q100" s="154">
        <v>296045</v>
      </c>
      <c r="R100" s="192">
        <v>-74857</v>
      </c>
      <c r="S100" s="6">
        <v>2087</v>
      </c>
      <c r="T100" s="6"/>
      <c r="U100" s="6"/>
    </row>
    <row r="101" spans="1:21" ht="12.75" hidden="1">
      <c r="A101" s="6">
        <v>2007</v>
      </c>
      <c r="B101" s="123">
        <v>-186242</v>
      </c>
      <c r="C101" s="123">
        <v>-253345</v>
      </c>
      <c r="D101" s="123">
        <v>67103</v>
      </c>
      <c r="E101" s="123">
        <v>848361</v>
      </c>
      <c r="F101" s="123">
        <v>762994</v>
      </c>
      <c r="G101" s="154">
        <v>2536</v>
      </c>
      <c r="H101" s="154">
        <v>69395</v>
      </c>
      <c r="I101" s="154">
        <v>0</v>
      </c>
      <c r="J101" s="154">
        <v>13435</v>
      </c>
      <c r="K101" s="154"/>
      <c r="L101" s="154">
        <v>261806</v>
      </c>
      <c r="M101" s="154">
        <v>149218</v>
      </c>
      <c r="N101" s="154">
        <v>411023</v>
      </c>
      <c r="O101" s="154">
        <v>104</v>
      </c>
      <c r="P101" s="154">
        <v>46883</v>
      </c>
      <c r="Q101" s="154">
        <v>296498</v>
      </c>
      <c r="R101" s="192">
        <v>-92392</v>
      </c>
      <c r="S101" s="6">
        <v>2088</v>
      </c>
      <c r="T101" s="6"/>
      <c r="U101" s="6"/>
    </row>
    <row r="102" spans="1:21" ht="12.75" hidden="1">
      <c r="A102" s="6">
        <v>2007</v>
      </c>
      <c r="B102" s="123">
        <v>-176170</v>
      </c>
      <c r="C102" s="123">
        <v>-249982</v>
      </c>
      <c r="D102" s="123">
        <v>73812</v>
      </c>
      <c r="E102" s="123">
        <v>861780</v>
      </c>
      <c r="F102" s="123">
        <v>778352</v>
      </c>
      <c r="G102" s="154">
        <v>2677</v>
      </c>
      <c r="H102" s="154">
        <v>66820</v>
      </c>
      <c r="I102" s="154">
        <v>0</v>
      </c>
      <c r="J102" s="154">
        <v>13930</v>
      </c>
      <c r="K102" s="154"/>
      <c r="L102" s="154">
        <v>273205</v>
      </c>
      <c r="M102" s="154">
        <v>153867</v>
      </c>
      <c r="N102" s="154">
        <v>427072</v>
      </c>
      <c r="O102" s="154">
        <v>37</v>
      </c>
      <c r="P102" s="154">
        <v>47724</v>
      </c>
      <c r="Q102" s="154">
        <v>297028</v>
      </c>
      <c r="R102" s="192">
        <v>-86251</v>
      </c>
      <c r="S102" s="6">
        <v>2089</v>
      </c>
      <c r="T102" s="6"/>
      <c r="U102" s="6"/>
    </row>
    <row r="103" spans="1:21" ht="12.75" hidden="1">
      <c r="A103" s="6">
        <v>2007</v>
      </c>
      <c r="B103" s="123">
        <v>-134331</v>
      </c>
      <c r="C103" s="123">
        <v>-209437</v>
      </c>
      <c r="D103" s="123">
        <v>75106</v>
      </c>
      <c r="E103" s="123">
        <v>805326</v>
      </c>
      <c r="F103" s="123">
        <v>720765</v>
      </c>
      <c r="G103" s="154">
        <v>2864</v>
      </c>
      <c r="H103" s="154">
        <v>71596</v>
      </c>
      <c r="I103" s="154">
        <v>0</v>
      </c>
      <c r="J103" s="154">
        <v>10100</v>
      </c>
      <c r="K103" s="154"/>
      <c r="L103" s="154">
        <v>273380</v>
      </c>
      <c r="M103" s="154">
        <v>157833</v>
      </c>
      <c r="N103" s="154">
        <v>431214</v>
      </c>
      <c r="O103" s="154">
        <v>85</v>
      </c>
      <c r="P103" s="154">
        <v>49124</v>
      </c>
      <c r="Q103" s="154">
        <v>300317</v>
      </c>
      <c r="R103" s="192">
        <v>-109746</v>
      </c>
      <c r="S103" s="6">
        <v>2090</v>
      </c>
      <c r="T103" s="6"/>
      <c r="U103" s="6"/>
    </row>
    <row r="104" spans="1:21" ht="12.75" hidden="1">
      <c r="A104" s="6">
        <v>2007</v>
      </c>
      <c r="B104" s="123">
        <v>-138891</v>
      </c>
      <c r="C104" s="123">
        <v>-220925</v>
      </c>
      <c r="D104" s="123">
        <v>82034</v>
      </c>
      <c r="E104" s="123">
        <v>833936</v>
      </c>
      <c r="F104" s="123">
        <v>735969</v>
      </c>
      <c r="G104" s="154">
        <v>3789</v>
      </c>
      <c r="H104" s="154">
        <v>76229</v>
      </c>
      <c r="I104" s="154">
        <v>0</v>
      </c>
      <c r="J104" s="154">
        <v>17949</v>
      </c>
      <c r="K104" s="154"/>
      <c r="L104" s="154">
        <v>272148</v>
      </c>
      <c r="M104" s="154">
        <v>165732</v>
      </c>
      <c r="N104" s="154">
        <v>437880</v>
      </c>
      <c r="O104" s="154">
        <v>85</v>
      </c>
      <c r="P104" s="154">
        <v>50092</v>
      </c>
      <c r="Q104" s="154">
        <v>318404</v>
      </c>
      <c r="R104" s="192">
        <v>-111416</v>
      </c>
      <c r="S104" s="6">
        <v>2091</v>
      </c>
      <c r="T104" s="6"/>
      <c r="U104" s="6"/>
    </row>
    <row r="105" spans="1:21" ht="12.75" hidden="1">
      <c r="A105" s="6">
        <v>2007</v>
      </c>
      <c r="B105" s="123">
        <v>-179632</v>
      </c>
      <c r="C105" s="123">
        <v>-259816</v>
      </c>
      <c r="D105" s="123">
        <v>80183</v>
      </c>
      <c r="E105" s="123">
        <v>856755</v>
      </c>
      <c r="F105" s="123">
        <v>755078</v>
      </c>
      <c r="G105" s="154">
        <v>3942</v>
      </c>
      <c r="H105" s="154">
        <v>82736</v>
      </c>
      <c r="I105" s="154">
        <v>0</v>
      </c>
      <c r="J105" s="154">
        <v>14999</v>
      </c>
      <c r="K105" s="154"/>
      <c r="L105" s="154">
        <v>281730</v>
      </c>
      <c r="M105" s="154">
        <v>169720</v>
      </c>
      <c r="N105" s="154">
        <v>451450</v>
      </c>
      <c r="O105" s="154">
        <v>201</v>
      </c>
      <c r="P105" s="154">
        <v>50163</v>
      </c>
      <c r="Q105" s="154">
        <v>295398</v>
      </c>
      <c r="R105" s="192">
        <v>-120088</v>
      </c>
      <c r="S105" s="6">
        <v>2092</v>
      </c>
      <c r="T105" s="6"/>
      <c r="U105" s="6"/>
    </row>
    <row r="106" spans="1:21" ht="12.75" hidden="1">
      <c r="A106" s="6">
        <v>2007</v>
      </c>
      <c r="B106" s="123">
        <v>-195880</v>
      </c>
      <c r="C106" s="123">
        <v>-274719</v>
      </c>
      <c r="D106" s="123">
        <v>78839</v>
      </c>
      <c r="E106" s="123">
        <v>880964</v>
      </c>
      <c r="F106" s="123">
        <v>769255</v>
      </c>
      <c r="G106" s="154">
        <v>3661</v>
      </c>
      <c r="H106" s="154">
        <v>93317</v>
      </c>
      <c r="I106" s="154">
        <v>0</v>
      </c>
      <c r="J106" s="154">
        <v>14730</v>
      </c>
      <c r="K106" s="154"/>
      <c r="L106" s="154">
        <v>292950</v>
      </c>
      <c r="M106" s="154">
        <v>166383</v>
      </c>
      <c r="N106" s="154">
        <v>459333</v>
      </c>
      <c r="O106" s="154">
        <v>94</v>
      </c>
      <c r="P106" s="154">
        <v>51239</v>
      </c>
      <c r="Q106" s="154">
        <v>310483</v>
      </c>
      <c r="R106" s="192">
        <v>-136065</v>
      </c>
      <c r="S106" s="6">
        <v>2093</v>
      </c>
      <c r="T106" s="6"/>
      <c r="U106" s="6"/>
    </row>
    <row r="107" spans="1:21" ht="12.75" hidden="1">
      <c r="A107" s="6">
        <v>2007</v>
      </c>
      <c r="E107" s="123"/>
      <c r="R107" s="156"/>
      <c r="S107" s="6">
        <v>2094</v>
      </c>
      <c r="T107" s="6"/>
      <c r="U107" s="6"/>
    </row>
    <row r="108" spans="1:20" ht="12.75" hidden="1">
      <c r="A108" s="6">
        <v>2007</v>
      </c>
      <c r="E108" s="123"/>
      <c r="R108" s="156"/>
      <c r="S108" s="6">
        <v>2095</v>
      </c>
      <c r="T108" s="112"/>
    </row>
    <row r="109" spans="1:21" s="128" customFormat="1" ht="12.75" hidden="1">
      <c r="A109" s="6">
        <v>2007</v>
      </c>
      <c r="B109" s="123">
        <f aca="true" t="shared" si="4" ref="B109:B147">C109+D109</f>
        <v>-206075</v>
      </c>
      <c r="C109" s="123">
        <v>-289706</v>
      </c>
      <c r="D109" s="123">
        <v>83631</v>
      </c>
      <c r="E109" s="123">
        <f aca="true" t="shared" si="5" ref="E109:E118">F109+G109+H109+J109</f>
        <v>901000</v>
      </c>
      <c r="F109" s="123">
        <v>785209</v>
      </c>
      <c r="G109" s="154">
        <v>4592</v>
      </c>
      <c r="H109" s="154">
        <v>91040</v>
      </c>
      <c r="I109" s="154">
        <v>0</v>
      </c>
      <c r="J109" s="154">
        <v>20159</v>
      </c>
      <c r="K109" s="154"/>
      <c r="L109" s="154">
        <v>289059</v>
      </c>
      <c r="M109" s="154">
        <v>176408</v>
      </c>
      <c r="N109" s="154">
        <f>L109+M109</f>
        <v>465467</v>
      </c>
      <c r="O109" s="154">
        <v>94</v>
      </c>
      <c r="P109" s="154">
        <v>51255</v>
      </c>
      <c r="Q109" s="154">
        <v>307331</v>
      </c>
      <c r="R109" s="192">
        <v>-129224</v>
      </c>
      <c r="S109" s="6">
        <v>2096</v>
      </c>
      <c r="T109" s="56"/>
      <c r="U109" s="56"/>
    </row>
    <row r="110" spans="1:21" s="128" customFormat="1" ht="12.75" hidden="1">
      <c r="A110" s="6">
        <v>2007</v>
      </c>
      <c r="B110" s="123">
        <f t="shared" si="4"/>
        <v>-222928</v>
      </c>
      <c r="C110" s="123">
        <v>-302220</v>
      </c>
      <c r="D110" s="123">
        <v>79292</v>
      </c>
      <c r="E110" s="123">
        <f t="shared" si="5"/>
        <v>932526</v>
      </c>
      <c r="F110" s="123">
        <v>812935</v>
      </c>
      <c r="G110" s="154">
        <v>3250</v>
      </c>
      <c r="H110" s="154">
        <v>102976</v>
      </c>
      <c r="I110" s="154">
        <v>0</v>
      </c>
      <c r="J110" s="154">
        <v>13365</v>
      </c>
      <c r="K110" s="154"/>
      <c r="L110" s="154">
        <v>301195</v>
      </c>
      <c r="M110" s="154">
        <v>173040</v>
      </c>
      <c r="N110" s="154">
        <f aca="true" t="shared" si="6" ref="N110:N118">L110+M110</f>
        <v>474235</v>
      </c>
      <c r="O110" s="154">
        <v>157</v>
      </c>
      <c r="P110" s="154">
        <v>52586</v>
      </c>
      <c r="Q110" s="154">
        <v>324097</v>
      </c>
      <c r="R110" s="192">
        <v>-141477</v>
      </c>
      <c r="S110" s="6">
        <v>2097</v>
      </c>
      <c r="T110" s="56"/>
      <c r="U110" s="56"/>
    </row>
    <row r="111" spans="1:21" s="128" customFormat="1" ht="12.75" hidden="1">
      <c r="A111" s="6">
        <v>2007</v>
      </c>
      <c r="B111" s="123">
        <f>C111+D111</f>
        <v>-210890</v>
      </c>
      <c r="C111" s="123">
        <v>-299800</v>
      </c>
      <c r="D111" s="123">
        <v>88910</v>
      </c>
      <c r="E111" s="123">
        <f t="shared" si="5"/>
        <v>911133</v>
      </c>
      <c r="F111" s="123">
        <v>793219</v>
      </c>
      <c r="G111" s="154">
        <v>3819</v>
      </c>
      <c r="H111" s="154">
        <v>105338</v>
      </c>
      <c r="I111" s="154">
        <v>0</v>
      </c>
      <c r="J111" s="154">
        <v>8757</v>
      </c>
      <c r="K111" s="154"/>
      <c r="L111" s="154">
        <v>301840</v>
      </c>
      <c r="M111" s="154">
        <v>173415</v>
      </c>
      <c r="N111" s="154">
        <f>L111+M111</f>
        <v>475255</v>
      </c>
      <c r="O111" s="154">
        <v>174</v>
      </c>
      <c r="P111" s="154">
        <v>53410</v>
      </c>
      <c r="Q111" s="154">
        <v>289385</v>
      </c>
      <c r="R111" s="192">
        <v>-117981</v>
      </c>
      <c r="S111" s="6">
        <v>2098</v>
      </c>
      <c r="T111" s="56"/>
      <c r="U111" s="56"/>
    </row>
    <row r="112" spans="1:21" s="128" customFormat="1" ht="12.75" hidden="1">
      <c r="A112" s="6">
        <v>2007</v>
      </c>
      <c r="B112" s="123">
        <f t="shared" si="4"/>
        <v>-220597</v>
      </c>
      <c r="C112" s="123">
        <v>-302509</v>
      </c>
      <c r="D112" s="123">
        <v>81912</v>
      </c>
      <c r="E112" s="123">
        <f t="shared" si="5"/>
        <v>929030</v>
      </c>
      <c r="F112" s="123">
        <v>805951</v>
      </c>
      <c r="G112" s="154">
        <v>3495</v>
      </c>
      <c r="H112" s="154">
        <v>106748</v>
      </c>
      <c r="I112" s="154">
        <v>0</v>
      </c>
      <c r="J112" s="154">
        <v>12836</v>
      </c>
      <c r="K112" s="154"/>
      <c r="L112" s="154">
        <v>301354</v>
      </c>
      <c r="M112" s="154">
        <v>172555</v>
      </c>
      <c r="N112" s="154">
        <f t="shared" si="6"/>
        <v>473909</v>
      </c>
      <c r="O112" s="154">
        <v>111</v>
      </c>
      <c r="P112" s="154">
        <v>53378</v>
      </c>
      <c r="Q112" s="154">
        <v>311509</v>
      </c>
      <c r="R112" s="192">
        <v>-130469</v>
      </c>
      <c r="S112" s="6">
        <v>2099</v>
      </c>
      <c r="T112" s="56"/>
      <c r="U112" s="56"/>
    </row>
    <row r="113" spans="1:21" s="128" customFormat="1" ht="12.75" hidden="1">
      <c r="A113" s="6">
        <v>2007</v>
      </c>
      <c r="B113" s="123">
        <f t="shared" si="4"/>
        <v>-223558</v>
      </c>
      <c r="C113" s="123">
        <v>-309893</v>
      </c>
      <c r="D113" s="123">
        <v>86335</v>
      </c>
      <c r="E113" s="123">
        <f t="shared" si="5"/>
        <v>945908</v>
      </c>
      <c r="F113" s="123">
        <v>821247</v>
      </c>
      <c r="G113" s="154">
        <v>3601</v>
      </c>
      <c r="H113" s="154">
        <v>108983</v>
      </c>
      <c r="I113" s="154">
        <v>0</v>
      </c>
      <c r="J113" s="154">
        <v>12077</v>
      </c>
      <c r="K113" s="154"/>
      <c r="L113" s="154">
        <v>315404</v>
      </c>
      <c r="M113" s="154">
        <v>188228</v>
      </c>
      <c r="N113" s="154">
        <f t="shared" si="6"/>
        <v>503632</v>
      </c>
      <c r="O113" s="154">
        <v>151</v>
      </c>
      <c r="P113" s="154">
        <v>54431</v>
      </c>
      <c r="Q113" s="154">
        <v>231890</v>
      </c>
      <c r="R113" s="192">
        <v>-67754</v>
      </c>
      <c r="S113" s="6">
        <v>2100</v>
      </c>
      <c r="T113" s="56"/>
      <c r="U113" s="56"/>
    </row>
    <row r="114" spans="1:21" ht="12.75" hidden="1">
      <c r="A114" s="6">
        <v>2007</v>
      </c>
      <c r="B114" s="123">
        <f>C114+D114</f>
        <v>-206863</v>
      </c>
      <c r="C114" s="105">
        <v>-296136</v>
      </c>
      <c r="D114" s="105">
        <v>89273</v>
      </c>
      <c r="E114" s="123">
        <f t="shared" si="5"/>
        <v>930183</v>
      </c>
      <c r="F114" s="105">
        <v>805781</v>
      </c>
      <c r="G114" s="142">
        <v>3221</v>
      </c>
      <c r="H114" s="142">
        <v>112714</v>
      </c>
      <c r="I114" s="142">
        <v>0</v>
      </c>
      <c r="J114" s="142">
        <v>8467</v>
      </c>
      <c r="K114" s="142"/>
      <c r="L114" s="142">
        <v>313894</v>
      </c>
      <c r="M114" s="142">
        <v>193215</v>
      </c>
      <c r="N114" s="154">
        <f>L114+M114</f>
        <v>507109</v>
      </c>
      <c r="O114" s="142">
        <v>121</v>
      </c>
      <c r="P114" s="142">
        <v>53698</v>
      </c>
      <c r="Q114" s="142">
        <v>232153</v>
      </c>
      <c r="R114" s="191">
        <v>-69761</v>
      </c>
      <c r="S114" s="6">
        <v>2101</v>
      </c>
      <c r="T114" s="6"/>
      <c r="U114" s="6"/>
    </row>
    <row r="115" spans="1:20" ht="12.75" hidden="1">
      <c r="A115" s="6">
        <v>2007</v>
      </c>
      <c r="B115" s="123">
        <f t="shared" si="4"/>
        <v>-197123</v>
      </c>
      <c r="C115" s="124">
        <v>-290383</v>
      </c>
      <c r="D115" s="124">
        <v>93260</v>
      </c>
      <c r="E115" s="123">
        <f t="shared" si="5"/>
        <v>944985</v>
      </c>
      <c r="F115" s="124">
        <v>810826</v>
      </c>
      <c r="G115" s="191">
        <v>3914</v>
      </c>
      <c r="H115" s="191">
        <v>115148</v>
      </c>
      <c r="I115" s="191">
        <v>0</v>
      </c>
      <c r="J115" s="191">
        <v>15097</v>
      </c>
      <c r="K115" s="191"/>
      <c r="L115" s="191">
        <v>320726</v>
      </c>
      <c r="M115" s="191">
        <v>193753</v>
      </c>
      <c r="N115" s="154">
        <f t="shared" si="6"/>
        <v>514479</v>
      </c>
      <c r="O115" s="191">
        <v>215</v>
      </c>
      <c r="P115" s="191">
        <v>53941</v>
      </c>
      <c r="Q115" s="191">
        <v>237747</v>
      </c>
      <c r="R115" s="191">
        <v>-58520</v>
      </c>
      <c r="S115" s="6">
        <v>2102</v>
      </c>
      <c r="T115" s="112"/>
    </row>
    <row r="116" spans="1:20" ht="12.75" customHeight="1" hidden="1">
      <c r="A116" s="6">
        <v>2007</v>
      </c>
      <c r="B116" s="123">
        <f t="shared" si="4"/>
        <v>-223042</v>
      </c>
      <c r="C116" s="124">
        <v>-308003</v>
      </c>
      <c r="D116" s="124">
        <v>84961</v>
      </c>
      <c r="E116" s="123">
        <f t="shared" si="5"/>
        <v>963563</v>
      </c>
      <c r="F116" s="124">
        <v>827013</v>
      </c>
      <c r="G116" s="191">
        <v>3609</v>
      </c>
      <c r="H116" s="191">
        <v>118645</v>
      </c>
      <c r="I116" s="191">
        <v>0</v>
      </c>
      <c r="J116" s="191">
        <v>14296</v>
      </c>
      <c r="K116" s="191"/>
      <c r="L116" s="191">
        <v>314037</v>
      </c>
      <c r="M116" s="191">
        <v>197552</v>
      </c>
      <c r="N116" s="142">
        <f t="shared" si="6"/>
        <v>511589</v>
      </c>
      <c r="O116" s="191">
        <v>132</v>
      </c>
      <c r="P116" s="191">
        <v>54830</v>
      </c>
      <c r="Q116" s="191">
        <v>240626</v>
      </c>
      <c r="R116" s="191">
        <v>-66655</v>
      </c>
      <c r="S116" s="6">
        <v>2103</v>
      </c>
      <c r="T116" s="112"/>
    </row>
    <row r="117" spans="1:20" ht="12.75" customHeight="1" hidden="1">
      <c r="A117" s="6">
        <v>2007</v>
      </c>
      <c r="B117" s="123">
        <f>C117+D117</f>
        <v>-194451</v>
      </c>
      <c r="C117" s="124">
        <v>-287178</v>
      </c>
      <c r="D117" s="124">
        <v>92727</v>
      </c>
      <c r="E117" s="123">
        <f t="shared" si="5"/>
        <v>955178</v>
      </c>
      <c r="F117" s="124">
        <v>816433</v>
      </c>
      <c r="G117" s="191">
        <v>4031</v>
      </c>
      <c r="H117" s="191">
        <v>123409</v>
      </c>
      <c r="I117" s="191">
        <v>0</v>
      </c>
      <c r="J117" s="191">
        <v>11305</v>
      </c>
      <c r="K117" s="191"/>
      <c r="L117" s="191">
        <v>329920</v>
      </c>
      <c r="M117" s="191">
        <v>207810</v>
      </c>
      <c r="N117" s="191">
        <f>L117+M117</f>
        <v>537730</v>
      </c>
      <c r="O117" s="191">
        <v>256</v>
      </c>
      <c r="P117" s="191">
        <v>55043</v>
      </c>
      <c r="Q117" s="191">
        <v>243247</v>
      </c>
      <c r="R117" s="191">
        <v>-75550</v>
      </c>
      <c r="S117" s="6">
        <v>2104</v>
      </c>
      <c r="T117" s="112"/>
    </row>
    <row r="118" spans="1:20" ht="12.75" customHeight="1" hidden="1">
      <c r="A118" s="6">
        <v>2007</v>
      </c>
      <c r="B118" s="123">
        <f t="shared" si="4"/>
        <v>-134382</v>
      </c>
      <c r="C118" s="124">
        <v>-240878</v>
      </c>
      <c r="D118" s="124">
        <v>106496</v>
      </c>
      <c r="E118" s="123">
        <f t="shared" si="5"/>
        <v>896065</v>
      </c>
      <c r="F118" s="124">
        <v>751621</v>
      </c>
      <c r="G118" s="191">
        <v>3161</v>
      </c>
      <c r="H118" s="191">
        <v>127901</v>
      </c>
      <c r="I118" s="191">
        <v>0</v>
      </c>
      <c r="J118" s="191">
        <v>13382</v>
      </c>
      <c r="K118" s="191"/>
      <c r="L118" s="191">
        <v>336537</v>
      </c>
      <c r="M118" s="191">
        <v>206477</v>
      </c>
      <c r="N118" s="191">
        <f t="shared" si="6"/>
        <v>543014</v>
      </c>
      <c r="O118" s="191">
        <v>131</v>
      </c>
      <c r="P118" s="191">
        <v>55552</v>
      </c>
      <c r="Q118" s="191">
        <v>254990</v>
      </c>
      <c r="R118" s="191">
        <v>-92003</v>
      </c>
      <c r="S118" s="6">
        <v>2105</v>
      </c>
      <c r="T118" s="112"/>
    </row>
    <row r="119" spans="1:20" ht="12.75" customHeight="1" hidden="1">
      <c r="A119" s="6">
        <v>2007</v>
      </c>
      <c r="B119" s="123">
        <f t="shared" si="4"/>
        <v>-151660</v>
      </c>
      <c r="C119" s="124">
        <v>-264726</v>
      </c>
      <c r="D119" s="124">
        <v>113066</v>
      </c>
      <c r="E119" s="124">
        <v>944533</v>
      </c>
      <c r="F119" s="124">
        <v>796173</v>
      </c>
      <c r="G119" s="191">
        <v>2664</v>
      </c>
      <c r="H119" s="191">
        <v>132544</v>
      </c>
      <c r="I119" s="191">
        <v>0</v>
      </c>
      <c r="J119" s="191">
        <v>13153</v>
      </c>
      <c r="K119" s="191"/>
      <c r="L119" s="191">
        <v>344069</v>
      </c>
      <c r="M119" s="191">
        <v>216652</v>
      </c>
      <c r="N119" s="191">
        <v>560721</v>
      </c>
      <c r="O119" s="191">
        <v>158</v>
      </c>
      <c r="P119" s="191">
        <v>56610</v>
      </c>
      <c r="Q119" s="191">
        <v>266435</v>
      </c>
      <c r="R119" s="191">
        <v>-91051</v>
      </c>
      <c r="S119" s="6">
        <v>2106</v>
      </c>
      <c r="T119" s="112"/>
    </row>
    <row r="120" spans="1:20" ht="12.75" customHeight="1" hidden="1">
      <c r="A120" s="6">
        <v>2007</v>
      </c>
      <c r="B120" s="123">
        <f>C120+D120</f>
        <v>-103914</v>
      </c>
      <c r="C120" s="124">
        <v>-203969</v>
      </c>
      <c r="D120" s="124">
        <v>100055</v>
      </c>
      <c r="E120" s="124">
        <v>875770</v>
      </c>
      <c r="F120" s="124">
        <v>721021</v>
      </c>
      <c r="G120" s="191">
        <v>3453</v>
      </c>
      <c r="H120" s="191">
        <v>135486</v>
      </c>
      <c r="I120" s="191">
        <v>0</v>
      </c>
      <c r="J120" s="191">
        <v>15810</v>
      </c>
      <c r="K120" s="191"/>
      <c r="L120" s="191">
        <v>344524</v>
      </c>
      <c r="M120" s="191">
        <v>207058</v>
      </c>
      <c r="N120" s="191">
        <v>551582</v>
      </c>
      <c r="O120" s="191">
        <v>182</v>
      </c>
      <c r="P120" s="191">
        <v>57205</v>
      </c>
      <c r="Q120" s="191">
        <v>279065</v>
      </c>
      <c r="R120" s="191">
        <v>-115465</v>
      </c>
      <c r="S120" s="6">
        <v>2107</v>
      </c>
      <c r="T120" s="112"/>
    </row>
    <row r="121" spans="1:20" ht="12.75">
      <c r="A121" s="6">
        <v>2008</v>
      </c>
      <c r="B121" s="123">
        <v>832239.709689212</v>
      </c>
      <c r="C121" s="96">
        <v>479201.31937543204</v>
      </c>
      <c r="D121" s="96">
        <v>353038.39031378005</v>
      </c>
      <c r="E121" s="123">
        <f>F121+G121+H121+I121+J121</f>
        <v>706845.63517526</v>
      </c>
      <c r="F121" s="96">
        <v>246545.00200582997</v>
      </c>
      <c r="G121" s="192">
        <v>17290.37970586</v>
      </c>
      <c r="H121" s="192">
        <v>413439.17762738996</v>
      </c>
      <c r="I121" s="192">
        <v>4908.783454</v>
      </c>
      <c r="J121" s="192">
        <v>24662.29238218</v>
      </c>
      <c r="K121" s="192">
        <v>87000</v>
      </c>
      <c r="L121" s="192">
        <v>666668.33330251</v>
      </c>
      <c r="M121" s="192">
        <v>654572.85740669</v>
      </c>
      <c r="N121" s="192">
        <v>1321241.1907092</v>
      </c>
      <c r="O121" s="192">
        <v>1508.8702988</v>
      </c>
      <c r="P121" s="192">
        <v>25600.88430232</v>
      </c>
      <c r="Q121" s="192">
        <v>458094.4950983956</v>
      </c>
      <c r="R121" s="192">
        <v>-180341.3017230603</v>
      </c>
      <c r="S121" s="6">
        <v>2008</v>
      </c>
      <c r="T121" s="112"/>
    </row>
    <row r="122" spans="1:20" ht="12.75">
      <c r="A122" s="6">
        <v>2009</v>
      </c>
      <c r="B122" s="123">
        <v>1541758.5564515064</v>
      </c>
      <c r="C122" s="96">
        <v>1005284.3749860185</v>
      </c>
      <c r="D122" s="96">
        <v>536474.181465488</v>
      </c>
      <c r="E122" s="123">
        <v>881318.3077399322</v>
      </c>
      <c r="F122" s="96">
        <v>213264</v>
      </c>
      <c r="G122" s="192">
        <v>31308.34778195</v>
      </c>
      <c r="H122" s="192">
        <v>600982.1925145722</v>
      </c>
      <c r="I122" s="192">
        <v>5034.07121648</v>
      </c>
      <c r="J122" s="192">
        <v>30729.696226930002</v>
      </c>
      <c r="K122" s="192">
        <v>120133.2</v>
      </c>
      <c r="L122" s="192">
        <v>808358.2352878101</v>
      </c>
      <c r="M122" s="192">
        <v>888729.5670159027</v>
      </c>
      <c r="N122" s="192">
        <v>1697087.8023037128</v>
      </c>
      <c r="O122" s="192">
        <v>1157.84212576</v>
      </c>
      <c r="P122" s="192">
        <v>32446.20478622</v>
      </c>
      <c r="Q122" s="192">
        <v>1279871.176644293</v>
      </c>
      <c r="R122" s="192">
        <v>-455242.8934501315</v>
      </c>
      <c r="S122" s="6">
        <v>2009</v>
      </c>
      <c r="T122" s="112"/>
    </row>
    <row r="123" spans="1:20" ht="12.75">
      <c r="A123" s="6">
        <v>2010</v>
      </c>
      <c r="B123" s="123">
        <v>1644515</v>
      </c>
      <c r="C123" s="96">
        <v>959034</v>
      </c>
      <c r="D123" s="96">
        <v>685481</v>
      </c>
      <c r="E123" s="123">
        <v>1197738.0370029001</v>
      </c>
      <c r="F123" s="96">
        <v>326521.0370029001</v>
      </c>
      <c r="G123" s="192">
        <f aca="true" t="shared" si="7" ref="G123:R123">G212</f>
        <v>54025</v>
      </c>
      <c r="H123" s="192">
        <f t="shared" si="7"/>
        <v>790395</v>
      </c>
      <c r="I123" s="192">
        <f t="shared" si="7"/>
        <v>4963</v>
      </c>
      <c r="J123" s="192">
        <f t="shared" si="7"/>
        <v>22246</v>
      </c>
      <c r="K123" s="192">
        <f t="shared" si="7"/>
        <v>159286</v>
      </c>
      <c r="L123" s="192">
        <f t="shared" si="7"/>
        <v>1048055</v>
      </c>
      <c r="M123" s="192">
        <f t="shared" si="7"/>
        <v>1188478</v>
      </c>
      <c r="N123" s="192">
        <f t="shared" si="7"/>
        <v>2236534</v>
      </c>
      <c r="O123" s="192">
        <f t="shared" si="7"/>
        <v>881</v>
      </c>
      <c r="P123" s="192">
        <f t="shared" si="7"/>
        <v>35327</v>
      </c>
      <c r="Q123" s="192">
        <f t="shared" si="7"/>
        <v>1315932</v>
      </c>
      <c r="R123" s="192">
        <f t="shared" si="7"/>
        <v>-442847</v>
      </c>
      <c r="S123" s="6">
        <v>2010</v>
      </c>
      <c r="T123" s="112"/>
    </row>
    <row r="124" spans="1:20" ht="12.75">
      <c r="A124" s="6">
        <v>2011</v>
      </c>
      <c r="B124" s="123">
        <v>2053006</v>
      </c>
      <c r="C124" s="96">
        <v>1117856</v>
      </c>
      <c r="D124" s="96">
        <v>935150</v>
      </c>
      <c r="E124" s="123">
        <v>1836630.06027778</v>
      </c>
      <c r="F124" s="96">
        <v>778988.06027778</v>
      </c>
      <c r="G124" s="192">
        <f>G227</f>
        <v>53507</v>
      </c>
      <c r="H124" s="192">
        <f aca="true" t="shared" si="8" ref="H124:R124">H227</f>
        <v>962751</v>
      </c>
      <c r="I124" s="192">
        <f t="shared" si="8"/>
        <v>4962</v>
      </c>
      <c r="J124" s="192">
        <f t="shared" si="8"/>
        <v>36031</v>
      </c>
      <c r="K124" s="192">
        <f t="shared" si="8"/>
        <v>39906</v>
      </c>
      <c r="L124" s="192">
        <f t="shared" si="8"/>
        <v>1209324</v>
      </c>
      <c r="M124" s="192">
        <f t="shared" si="8"/>
        <v>1510417</v>
      </c>
      <c r="N124" s="192">
        <f t="shared" si="8"/>
        <v>2719741</v>
      </c>
      <c r="O124" s="192">
        <f t="shared" si="8"/>
        <v>814</v>
      </c>
      <c r="P124" s="192">
        <f t="shared" si="8"/>
        <v>36839</v>
      </c>
      <c r="Q124" s="192">
        <f t="shared" si="8"/>
        <v>1348810</v>
      </c>
      <c r="R124" s="192">
        <f t="shared" si="8"/>
        <v>-153741</v>
      </c>
      <c r="S124" s="6">
        <v>2011</v>
      </c>
      <c r="T124" s="112"/>
    </row>
    <row r="125" spans="1:19" ht="12.75">
      <c r="A125" s="6">
        <v>2012</v>
      </c>
      <c r="B125" s="96">
        <v>2485030</v>
      </c>
      <c r="C125" s="96">
        <v>1302577</v>
      </c>
      <c r="D125" s="96">
        <v>1182453</v>
      </c>
      <c r="E125" s="96">
        <v>1229532.7122627802</v>
      </c>
      <c r="F125" s="96">
        <v>79894</v>
      </c>
      <c r="G125" s="192">
        <v>74926.96137779999</v>
      </c>
      <c r="H125" s="192">
        <v>1023482.4802141424</v>
      </c>
      <c r="I125" s="192">
        <v>4962</v>
      </c>
      <c r="J125" s="192">
        <v>46267.27067083791</v>
      </c>
      <c r="K125" s="192">
        <v>0</v>
      </c>
      <c r="L125" s="192">
        <v>1407435.675675257</v>
      </c>
      <c r="M125" s="192">
        <v>1941279.2201879746</v>
      </c>
      <c r="N125" s="192">
        <v>3348714.8958632317</v>
      </c>
      <c r="O125" s="192">
        <v>623.8088418599999</v>
      </c>
      <c r="P125" s="192">
        <v>36472.274832459996</v>
      </c>
      <c r="Q125" s="192">
        <v>1450566.8667430792</v>
      </c>
      <c r="R125" s="192">
        <v>-211016.69123757596</v>
      </c>
      <c r="S125" s="6">
        <v>2012</v>
      </c>
    </row>
    <row r="126" spans="1:20" ht="12.75">
      <c r="A126" s="6">
        <v>2013</v>
      </c>
      <c r="B126" s="123">
        <v>2863113</v>
      </c>
      <c r="C126" s="96">
        <v>1557376</v>
      </c>
      <c r="D126" s="96">
        <v>1305737</v>
      </c>
      <c r="E126" s="123">
        <v>2391240</v>
      </c>
      <c r="F126" s="96">
        <v>1144897</v>
      </c>
      <c r="G126" s="192">
        <v>200060</v>
      </c>
      <c r="H126" s="192">
        <v>1001358</v>
      </c>
      <c r="I126" s="192">
        <v>4962</v>
      </c>
      <c r="J126" s="192">
        <v>39963</v>
      </c>
      <c r="K126" s="192">
        <v>0</v>
      </c>
      <c r="L126" s="192">
        <v>1552616</v>
      </c>
      <c r="M126" s="192">
        <v>2168696</v>
      </c>
      <c r="N126" s="192">
        <v>3721313</v>
      </c>
      <c r="O126" s="192">
        <v>2768</v>
      </c>
      <c r="P126" s="192">
        <v>36660</v>
      </c>
      <c r="Q126" s="192">
        <v>1558198</v>
      </c>
      <c r="R126" s="192">
        <v>-64584</v>
      </c>
      <c r="S126" s="6">
        <v>2013</v>
      </c>
      <c r="T126" s="112"/>
    </row>
    <row r="127" spans="1:20" ht="12.75">
      <c r="A127" s="6"/>
      <c r="B127" s="123"/>
      <c r="C127" s="96"/>
      <c r="D127" s="96"/>
      <c r="E127" s="123"/>
      <c r="F127" s="96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6"/>
      <c r="T127" s="112"/>
    </row>
    <row r="128" spans="1:20" ht="12.75">
      <c r="A128" s="6"/>
      <c r="B128" s="123"/>
      <c r="C128" s="96"/>
      <c r="D128" s="96"/>
      <c r="E128" s="123"/>
      <c r="F128" s="96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6"/>
      <c r="T128" s="112"/>
    </row>
    <row r="129" spans="1:20" ht="12.75" hidden="1">
      <c r="A129" s="6">
        <v>2005</v>
      </c>
      <c r="B129" s="123"/>
      <c r="R129" s="156"/>
      <c r="S129" s="43">
        <v>2005</v>
      </c>
      <c r="T129" s="112"/>
    </row>
    <row r="130" spans="1:20" ht="12.75" hidden="1">
      <c r="A130" s="64" t="s">
        <v>25</v>
      </c>
      <c r="B130" s="123">
        <f t="shared" si="4"/>
        <v>-96672</v>
      </c>
      <c r="C130" s="124">
        <v>-205549</v>
      </c>
      <c r="D130" s="124">
        <v>108877</v>
      </c>
      <c r="E130" s="124">
        <v>879962</v>
      </c>
      <c r="F130" s="124">
        <v>726118</v>
      </c>
      <c r="G130" s="191">
        <v>3598</v>
      </c>
      <c r="H130" s="191">
        <v>135183</v>
      </c>
      <c r="I130" s="191">
        <v>0</v>
      </c>
      <c r="J130" s="191">
        <v>15063</v>
      </c>
      <c r="K130" s="191"/>
      <c r="L130" s="191">
        <v>329579</v>
      </c>
      <c r="M130" s="191">
        <v>227428</v>
      </c>
      <c r="N130" s="191">
        <v>557006</v>
      </c>
      <c r="O130" s="191">
        <v>171</v>
      </c>
      <c r="P130" s="191">
        <v>57249</v>
      </c>
      <c r="Q130" s="191">
        <v>273482</v>
      </c>
      <c r="R130" s="191">
        <v>-104619</v>
      </c>
      <c r="S130" s="64" t="s">
        <v>25</v>
      </c>
      <c r="T130" s="112"/>
    </row>
    <row r="131" spans="1:20" ht="12.75" hidden="1">
      <c r="A131" s="64" t="s">
        <v>26</v>
      </c>
      <c r="B131" s="123">
        <f t="shared" si="4"/>
        <v>-110612</v>
      </c>
      <c r="C131" s="124">
        <v>-230381</v>
      </c>
      <c r="D131" s="124">
        <v>119769</v>
      </c>
      <c r="E131" s="124">
        <v>900383</v>
      </c>
      <c r="F131" s="124">
        <v>751387</v>
      </c>
      <c r="G131" s="191">
        <v>3153</v>
      </c>
      <c r="H131" s="191">
        <v>135599</v>
      </c>
      <c r="I131" s="191">
        <v>26</v>
      </c>
      <c r="J131" s="191">
        <v>10219</v>
      </c>
      <c r="K131" s="191"/>
      <c r="L131" s="191">
        <v>332291</v>
      </c>
      <c r="M131" s="191">
        <v>230581</v>
      </c>
      <c r="N131" s="191">
        <v>562872</v>
      </c>
      <c r="O131" s="191">
        <v>192</v>
      </c>
      <c r="P131" s="191">
        <v>24312</v>
      </c>
      <c r="Q131" s="191">
        <v>321867</v>
      </c>
      <c r="R131" s="191">
        <v>-119471</v>
      </c>
      <c r="S131" s="64" t="s">
        <v>26</v>
      </c>
      <c r="T131" s="112"/>
    </row>
    <row r="132" spans="1:20" ht="14.25" hidden="1">
      <c r="A132" s="18" t="s">
        <v>114</v>
      </c>
      <c r="B132" s="123">
        <f t="shared" si="4"/>
        <v>-82375</v>
      </c>
      <c r="C132" s="124">
        <v>-212725</v>
      </c>
      <c r="D132" s="124">
        <v>130350</v>
      </c>
      <c r="E132" s="124">
        <v>910864</v>
      </c>
      <c r="F132" s="124">
        <v>752340</v>
      </c>
      <c r="G132" s="191">
        <v>3731</v>
      </c>
      <c r="H132" s="191">
        <v>143387</v>
      </c>
      <c r="I132" s="191">
        <v>0</v>
      </c>
      <c r="J132" s="191">
        <v>11406</v>
      </c>
      <c r="K132" s="191"/>
      <c r="L132" s="191">
        <v>363713</v>
      </c>
      <c r="M132" s="191">
        <v>247714</v>
      </c>
      <c r="N132" s="191">
        <v>611427</v>
      </c>
      <c r="O132" s="191">
        <v>180</v>
      </c>
      <c r="P132" s="191">
        <v>24107</v>
      </c>
      <c r="Q132" s="191">
        <v>314831</v>
      </c>
      <c r="R132" s="191">
        <v>-122054</v>
      </c>
      <c r="S132" s="64" t="s">
        <v>27</v>
      </c>
      <c r="T132" s="112"/>
    </row>
    <row r="133" spans="1:20" ht="12.75" hidden="1">
      <c r="A133" s="64" t="s">
        <v>28</v>
      </c>
      <c r="B133" s="123">
        <f t="shared" si="4"/>
        <v>-83407</v>
      </c>
      <c r="C133" s="124">
        <v>-213371</v>
      </c>
      <c r="D133" s="124">
        <v>129964</v>
      </c>
      <c r="E133" s="124">
        <v>930609</v>
      </c>
      <c r="F133" s="124">
        <v>766940</v>
      </c>
      <c r="G133" s="191">
        <v>3363</v>
      </c>
      <c r="H133" s="191">
        <v>145917</v>
      </c>
      <c r="I133" s="191">
        <v>24</v>
      </c>
      <c r="J133" s="191">
        <v>14365</v>
      </c>
      <c r="K133" s="191"/>
      <c r="L133" s="191">
        <v>368190</v>
      </c>
      <c r="M133" s="191">
        <v>249788</v>
      </c>
      <c r="N133" s="191">
        <v>617978</v>
      </c>
      <c r="O133" s="191">
        <v>233</v>
      </c>
      <c r="P133" s="191">
        <v>24191</v>
      </c>
      <c r="Q133" s="191">
        <v>314252</v>
      </c>
      <c r="R133" s="191">
        <v>-109452</v>
      </c>
      <c r="S133" s="64" t="s">
        <v>28</v>
      </c>
      <c r="T133" s="112"/>
    </row>
    <row r="134" spans="1:20" ht="12" customHeight="1" hidden="1">
      <c r="A134" s="64" t="s">
        <v>29</v>
      </c>
      <c r="B134" s="123">
        <f t="shared" si="4"/>
        <v>-123455</v>
      </c>
      <c r="C134" s="124">
        <v>-229834</v>
      </c>
      <c r="D134" s="124">
        <v>106379</v>
      </c>
      <c r="E134" s="124">
        <v>957589</v>
      </c>
      <c r="F134" s="124">
        <v>786447</v>
      </c>
      <c r="G134" s="191">
        <v>4619</v>
      </c>
      <c r="H134" s="191">
        <v>144266</v>
      </c>
      <c r="I134" s="191">
        <v>0</v>
      </c>
      <c r="J134" s="191">
        <v>22258</v>
      </c>
      <c r="K134" s="191"/>
      <c r="L134" s="191">
        <v>368658</v>
      </c>
      <c r="M134" s="191">
        <v>237910</v>
      </c>
      <c r="N134" s="191">
        <v>606568</v>
      </c>
      <c r="O134" s="191">
        <v>203</v>
      </c>
      <c r="P134" s="191">
        <v>23917</v>
      </c>
      <c r="Q134" s="191">
        <v>254104</v>
      </c>
      <c r="R134" s="191">
        <v>-50658</v>
      </c>
      <c r="S134" s="64" t="s">
        <v>29</v>
      </c>
      <c r="T134" s="112"/>
    </row>
    <row r="135" spans="1:20" ht="12.75" hidden="1">
      <c r="A135" s="64" t="s">
        <v>156</v>
      </c>
      <c r="B135" s="123">
        <f t="shared" si="4"/>
        <v>-98474</v>
      </c>
      <c r="C135" s="124">
        <v>-237406</v>
      </c>
      <c r="D135" s="124">
        <v>138932</v>
      </c>
      <c r="E135" s="124">
        <v>954298</v>
      </c>
      <c r="F135" s="124">
        <v>785091</v>
      </c>
      <c r="G135" s="191">
        <v>3276</v>
      </c>
      <c r="H135" s="191">
        <v>157444</v>
      </c>
      <c r="I135" s="191">
        <v>0</v>
      </c>
      <c r="J135" s="191">
        <v>8488</v>
      </c>
      <c r="K135" s="191"/>
      <c r="L135" s="191">
        <v>358132</v>
      </c>
      <c r="M135" s="191">
        <v>270046</v>
      </c>
      <c r="N135" s="191">
        <v>628178</v>
      </c>
      <c r="O135" s="191">
        <v>205</v>
      </c>
      <c r="P135" s="191">
        <v>24266</v>
      </c>
      <c r="Q135" s="191">
        <v>244466</v>
      </c>
      <c r="R135" s="191">
        <v>-41292</v>
      </c>
      <c r="S135" s="64" t="s">
        <v>30</v>
      </c>
      <c r="T135" s="112"/>
    </row>
    <row r="136" spans="1:20" ht="12.75" hidden="1">
      <c r="A136" s="64" t="s">
        <v>31</v>
      </c>
      <c r="B136" s="123">
        <f t="shared" si="4"/>
        <v>-90579</v>
      </c>
      <c r="C136" s="124">
        <v>-213574</v>
      </c>
      <c r="D136" s="124">
        <v>122995</v>
      </c>
      <c r="E136" s="124">
        <f>F136+G136+H136+I136+J136</f>
        <v>923146</v>
      </c>
      <c r="F136" s="124">
        <v>752610</v>
      </c>
      <c r="G136" s="191">
        <v>3289</v>
      </c>
      <c r="H136" s="191">
        <v>160589</v>
      </c>
      <c r="I136" s="191">
        <v>0</v>
      </c>
      <c r="J136" s="191">
        <v>6658</v>
      </c>
      <c r="K136" s="191"/>
      <c r="L136" s="191">
        <v>346027</v>
      </c>
      <c r="M136" s="191">
        <v>263670</v>
      </c>
      <c r="N136" s="191">
        <v>609697</v>
      </c>
      <c r="O136" s="191">
        <v>276</v>
      </c>
      <c r="P136" s="191">
        <v>24318</v>
      </c>
      <c r="Q136" s="191">
        <v>246371</v>
      </c>
      <c r="R136" s="191">
        <v>-48097</v>
      </c>
      <c r="S136" s="64" t="s">
        <v>31</v>
      </c>
      <c r="T136" s="112"/>
    </row>
    <row r="137" spans="1:20" ht="12.75" hidden="1">
      <c r="A137" s="64" t="s">
        <v>32</v>
      </c>
      <c r="B137" s="123">
        <f t="shared" si="4"/>
        <v>-58456</v>
      </c>
      <c r="C137" s="124">
        <v>-188943</v>
      </c>
      <c r="D137" s="124">
        <v>130487</v>
      </c>
      <c r="E137" s="124">
        <f>F137+G137+H137+I137+J137</f>
        <v>918241</v>
      </c>
      <c r="F137" s="124">
        <v>737861</v>
      </c>
      <c r="G137" s="191">
        <v>4158</v>
      </c>
      <c r="H137" s="191">
        <v>159573</v>
      </c>
      <c r="I137" s="191">
        <v>11</v>
      </c>
      <c r="J137" s="191">
        <v>16638</v>
      </c>
      <c r="K137" s="191"/>
      <c r="L137" s="191">
        <v>364240</v>
      </c>
      <c r="M137" s="191">
        <v>270536</v>
      </c>
      <c r="N137" s="191">
        <v>634776</v>
      </c>
      <c r="O137" s="191">
        <v>282</v>
      </c>
      <c r="P137" s="191">
        <v>24438</v>
      </c>
      <c r="Q137" s="191">
        <v>266490</v>
      </c>
      <c r="R137" s="191">
        <v>-66202</v>
      </c>
      <c r="S137" s="64" t="s">
        <v>32</v>
      </c>
      <c r="T137" s="112"/>
    </row>
    <row r="138" spans="1:20" ht="12.75" hidden="1">
      <c r="A138" s="43" t="s">
        <v>87</v>
      </c>
      <c r="B138" s="123">
        <f t="shared" si="4"/>
        <v>-70328</v>
      </c>
      <c r="C138" s="124">
        <v>-195920</v>
      </c>
      <c r="D138" s="124">
        <v>125592</v>
      </c>
      <c r="E138" s="124">
        <f>F138+G138+H138+I138+J138</f>
        <v>873903</v>
      </c>
      <c r="F138" s="124">
        <v>689735</v>
      </c>
      <c r="G138" s="191">
        <v>5355</v>
      </c>
      <c r="H138" s="191">
        <v>156555</v>
      </c>
      <c r="I138" s="191">
        <v>0</v>
      </c>
      <c r="J138" s="191">
        <v>22258</v>
      </c>
      <c r="K138" s="191"/>
      <c r="L138" s="191">
        <v>373249</v>
      </c>
      <c r="M138" s="191">
        <v>267399</v>
      </c>
      <c r="N138" s="191">
        <v>640648</v>
      </c>
      <c r="O138" s="191">
        <v>184</v>
      </c>
      <c r="P138" s="191">
        <v>24494</v>
      </c>
      <c r="Q138" s="191">
        <v>269933</v>
      </c>
      <c r="R138" s="191">
        <v>-60750</v>
      </c>
      <c r="S138" s="64" t="s">
        <v>33</v>
      </c>
      <c r="T138" s="112"/>
    </row>
    <row r="139" spans="1:20" ht="12.75" hidden="1">
      <c r="A139" s="64" t="s">
        <v>35</v>
      </c>
      <c r="B139" s="123">
        <f t="shared" si="4"/>
        <v>-65118</v>
      </c>
      <c r="C139" s="124">
        <v>-200196</v>
      </c>
      <c r="D139" s="124">
        <v>135078</v>
      </c>
      <c r="E139" s="124">
        <v>939286</v>
      </c>
      <c r="F139" s="124">
        <v>689735</v>
      </c>
      <c r="G139" s="191">
        <v>3821</v>
      </c>
      <c r="H139" s="191">
        <v>158770</v>
      </c>
      <c r="I139" s="191">
        <v>0</v>
      </c>
      <c r="J139" s="191">
        <v>16469</v>
      </c>
      <c r="K139" s="191"/>
      <c r="L139" s="191">
        <v>362004</v>
      </c>
      <c r="M139" s="191">
        <v>276925</v>
      </c>
      <c r="N139" s="191">
        <v>638929</v>
      </c>
      <c r="O139" s="191">
        <v>192</v>
      </c>
      <c r="P139" s="191">
        <v>24691</v>
      </c>
      <c r="Q139" s="191">
        <v>278067</v>
      </c>
      <c r="R139" s="191">
        <v>-67711</v>
      </c>
      <c r="S139" s="64" t="s">
        <v>152</v>
      </c>
      <c r="T139" s="112"/>
    </row>
    <row r="140" spans="1:20" ht="12.75" hidden="1">
      <c r="A140" s="64" t="s">
        <v>36</v>
      </c>
      <c r="B140" s="123">
        <f t="shared" si="4"/>
        <v>-13423</v>
      </c>
      <c r="C140" s="124">
        <v>-147841</v>
      </c>
      <c r="D140" s="124">
        <v>134418</v>
      </c>
      <c r="E140" s="124">
        <v>920847</v>
      </c>
      <c r="F140" s="124">
        <v>689735</v>
      </c>
      <c r="G140" s="191">
        <v>3635</v>
      </c>
      <c r="H140" s="191">
        <v>158141</v>
      </c>
      <c r="I140" s="191">
        <v>0</v>
      </c>
      <c r="J140" s="191">
        <v>16652</v>
      </c>
      <c r="K140" s="191"/>
      <c r="L140" s="191">
        <v>394625</v>
      </c>
      <c r="M140" s="191">
        <v>276885</v>
      </c>
      <c r="N140" s="191">
        <v>671510</v>
      </c>
      <c r="O140" s="191">
        <v>205</v>
      </c>
      <c r="P140" s="191">
        <v>24552</v>
      </c>
      <c r="Q140" s="191">
        <v>273987</v>
      </c>
      <c r="R140" s="191">
        <v>-62830</v>
      </c>
      <c r="S140" s="64" t="s">
        <v>36</v>
      </c>
      <c r="T140" s="112"/>
    </row>
    <row r="141" spans="1:20" ht="12.75" hidden="1">
      <c r="A141" s="64" t="s">
        <v>88</v>
      </c>
      <c r="B141" s="123">
        <f t="shared" si="4"/>
        <v>85928</v>
      </c>
      <c r="C141" s="124">
        <v>-63956</v>
      </c>
      <c r="D141" s="124">
        <v>149884</v>
      </c>
      <c r="E141" s="124">
        <v>875433</v>
      </c>
      <c r="F141" s="124">
        <v>689735</v>
      </c>
      <c r="G141" s="191">
        <v>4351</v>
      </c>
      <c r="H141" s="191">
        <v>159647</v>
      </c>
      <c r="I141" s="191">
        <v>4875</v>
      </c>
      <c r="J141" s="191">
        <v>16910</v>
      </c>
      <c r="K141" s="191"/>
      <c r="L141" s="191">
        <v>424173</v>
      </c>
      <c r="M141" s="191">
        <v>300005</v>
      </c>
      <c r="N141" s="191">
        <v>724178</v>
      </c>
      <c r="O141" s="191">
        <v>248</v>
      </c>
      <c r="P141" s="191">
        <v>24678</v>
      </c>
      <c r="Q141" s="191">
        <v>276238</v>
      </c>
      <c r="R141" s="191">
        <v>-63982</v>
      </c>
      <c r="S141" s="64" t="s">
        <v>37</v>
      </c>
      <c r="T141" s="112"/>
    </row>
    <row r="142" spans="2:20" ht="9.75" customHeight="1" hidden="1">
      <c r="B142" s="123"/>
      <c r="E142" s="106"/>
      <c r="F142" s="106"/>
      <c r="R142" s="156"/>
      <c r="S142" s="64"/>
      <c r="T142" s="112"/>
    </row>
    <row r="143" spans="1:20" ht="12.75" hidden="1">
      <c r="A143" s="6">
        <v>2006</v>
      </c>
      <c r="B143" s="123"/>
      <c r="F143" s="106"/>
      <c r="S143" s="6">
        <v>2006</v>
      </c>
      <c r="T143" s="112"/>
    </row>
    <row r="144" spans="1:20" ht="12.75" hidden="1">
      <c r="A144" s="64" t="s">
        <v>25</v>
      </c>
      <c r="B144" s="123">
        <f t="shared" si="4"/>
        <v>82891</v>
      </c>
      <c r="C144" s="124">
        <v>-49172</v>
      </c>
      <c r="D144" s="124">
        <v>132063</v>
      </c>
      <c r="E144" s="124">
        <v>859934</v>
      </c>
      <c r="F144" s="124">
        <v>668545</v>
      </c>
      <c r="G144" s="191">
        <v>3370</v>
      </c>
      <c r="H144" s="191">
        <v>161066</v>
      </c>
      <c r="I144" s="191">
        <v>4900</v>
      </c>
      <c r="J144" s="191">
        <v>21951</v>
      </c>
      <c r="K144" s="191"/>
      <c r="L144" s="191">
        <v>416114</v>
      </c>
      <c r="M144" s="191">
        <v>295091</v>
      </c>
      <c r="N144" s="191">
        <v>711205</v>
      </c>
      <c r="O144" s="191">
        <v>195</v>
      </c>
      <c r="P144" s="191">
        <v>24636</v>
      </c>
      <c r="Q144" s="191">
        <v>292680</v>
      </c>
      <c r="R144" s="191">
        <v>-88993</v>
      </c>
      <c r="S144" s="64" t="s">
        <v>25</v>
      </c>
      <c r="T144" s="112"/>
    </row>
    <row r="145" spans="1:20" ht="12.75" hidden="1">
      <c r="A145" s="64" t="s">
        <v>26</v>
      </c>
      <c r="B145" s="123">
        <f t="shared" si="4"/>
        <v>64846</v>
      </c>
      <c r="C145" s="124">
        <v>-66260</v>
      </c>
      <c r="D145" s="124">
        <v>131106</v>
      </c>
      <c r="E145" s="124">
        <v>893565</v>
      </c>
      <c r="F145" s="124">
        <v>699928</v>
      </c>
      <c r="G145" s="191">
        <v>5243</v>
      </c>
      <c r="H145" s="191">
        <v>168523</v>
      </c>
      <c r="I145" s="191">
        <v>4900</v>
      </c>
      <c r="J145" s="191">
        <v>14971</v>
      </c>
      <c r="K145" s="191"/>
      <c r="L145" s="191">
        <v>413690</v>
      </c>
      <c r="M145" s="191">
        <v>291695</v>
      </c>
      <c r="N145" s="191">
        <v>705385</v>
      </c>
      <c r="O145" s="191">
        <v>164</v>
      </c>
      <c r="P145" s="191">
        <v>24787</v>
      </c>
      <c r="Q145" s="191">
        <v>296396</v>
      </c>
      <c r="R145" s="191">
        <v>-68321</v>
      </c>
      <c r="S145" s="64" t="s">
        <v>26</v>
      </c>
      <c r="T145" s="112"/>
    </row>
    <row r="146" spans="1:20" ht="12.75" hidden="1">
      <c r="A146" s="64" t="s">
        <v>135</v>
      </c>
      <c r="B146" s="123">
        <f t="shared" si="4"/>
        <v>43170</v>
      </c>
      <c r="C146" s="124">
        <v>-81991</v>
      </c>
      <c r="D146" s="124">
        <v>125161</v>
      </c>
      <c r="E146" s="124">
        <v>928278</v>
      </c>
      <c r="F146" s="124">
        <v>719349</v>
      </c>
      <c r="G146" s="191">
        <v>6277</v>
      </c>
      <c r="H146" s="191">
        <v>171355</v>
      </c>
      <c r="I146" s="191">
        <v>4875</v>
      </c>
      <c r="J146" s="191">
        <v>26421</v>
      </c>
      <c r="K146" s="191"/>
      <c r="L146" s="191">
        <v>436770</v>
      </c>
      <c r="M146" s="191">
        <v>287404</v>
      </c>
      <c r="N146" s="191">
        <v>724173</v>
      </c>
      <c r="O146" s="191">
        <v>222</v>
      </c>
      <c r="P146" s="191">
        <v>24813</v>
      </c>
      <c r="Q146" s="191">
        <v>291787</v>
      </c>
      <c r="R146" s="191">
        <v>-69548</v>
      </c>
      <c r="S146" s="64" t="s">
        <v>27</v>
      </c>
      <c r="T146" s="112"/>
    </row>
    <row r="147" spans="1:20" ht="12.75" hidden="1">
      <c r="A147" s="64" t="s">
        <v>28</v>
      </c>
      <c r="B147" s="123">
        <f t="shared" si="4"/>
        <v>51740</v>
      </c>
      <c r="C147" s="124">
        <v>-103443</v>
      </c>
      <c r="D147" s="124">
        <v>155183</v>
      </c>
      <c r="E147" s="124">
        <v>940885</v>
      </c>
      <c r="F147" s="124">
        <v>735860</v>
      </c>
      <c r="G147" s="191">
        <v>7439</v>
      </c>
      <c r="H147" s="191">
        <v>172142</v>
      </c>
      <c r="I147" s="191">
        <v>4875</v>
      </c>
      <c r="J147" s="191">
        <v>20568</v>
      </c>
      <c r="K147" s="191"/>
      <c r="L147" s="191">
        <v>442532</v>
      </c>
      <c r="M147" s="191">
        <v>322822</v>
      </c>
      <c r="N147" s="191">
        <v>765354</v>
      </c>
      <c r="O147" s="191">
        <v>220</v>
      </c>
      <c r="P147" s="191">
        <v>24725</v>
      </c>
      <c r="Q147" s="191">
        <v>288034</v>
      </c>
      <c r="R147" s="191">
        <v>-85709</v>
      </c>
      <c r="S147" s="64" t="s">
        <v>28</v>
      </c>
      <c r="T147" s="112"/>
    </row>
    <row r="148" spans="1:20" ht="12.75" hidden="1">
      <c r="A148" s="64" t="s">
        <v>29</v>
      </c>
      <c r="B148" s="123">
        <v>22404</v>
      </c>
      <c r="C148" s="124">
        <v>-128968</v>
      </c>
      <c r="D148" s="124">
        <v>157372</v>
      </c>
      <c r="E148" s="124">
        <v>948759</v>
      </c>
      <c r="F148" s="124">
        <v>753982</v>
      </c>
      <c r="G148" s="191">
        <v>6237</v>
      </c>
      <c r="H148" s="191">
        <v>172009</v>
      </c>
      <c r="I148" s="191">
        <v>4875</v>
      </c>
      <c r="J148" s="191">
        <v>11655</v>
      </c>
      <c r="K148" s="191"/>
      <c r="L148" s="191">
        <v>436402</v>
      </c>
      <c r="M148" s="191">
        <v>321555</v>
      </c>
      <c r="N148" s="191">
        <v>757957</v>
      </c>
      <c r="O148" s="191">
        <v>233</v>
      </c>
      <c r="P148" s="191">
        <v>24870</v>
      </c>
      <c r="Q148" s="191">
        <v>430043</v>
      </c>
      <c r="R148" s="191">
        <v>-235939</v>
      </c>
      <c r="S148" s="64" t="s">
        <v>29</v>
      </c>
      <c r="T148" s="112"/>
    </row>
    <row r="149" spans="1:20" ht="12.75" hidden="1">
      <c r="A149" s="64" t="s">
        <v>86</v>
      </c>
      <c r="B149" s="123">
        <v>121679</v>
      </c>
      <c r="C149" s="124">
        <v>-41035</v>
      </c>
      <c r="D149" s="124">
        <v>162714</v>
      </c>
      <c r="E149" s="124">
        <v>863210</v>
      </c>
      <c r="F149" s="124">
        <v>660919</v>
      </c>
      <c r="G149" s="191">
        <v>9060</v>
      </c>
      <c r="H149" s="191">
        <v>174238</v>
      </c>
      <c r="I149" s="191">
        <v>4875</v>
      </c>
      <c r="J149" s="191">
        <v>14118</v>
      </c>
      <c r="K149" s="191"/>
      <c r="L149" s="191">
        <v>424321</v>
      </c>
      <c r="M149" s="191">
        <v>334401</v>
      </c>
      <c r="N149" s="191">
        <v>758723</v>
      </c>
      <c r="O149" s="191">
        <v>244</v>
      </c>
      <c r="P149" s="191">
        <v>25046</v>
      </c>
      <c r="Q149" s="191">
        <v>433375</v>
      </c>
      <c r="R149" s="191">
        <v>-232497</v>
      </c>
      <c r="S149" s="64" t="s">
        <v>30</v>
      </c>
      <c r="T149" s="112"/>
    </row>
    <row r="150" spans="1:20" ht="12.75" hidden="1">
      <c r="A150" s="64" t="s">
        <v>31</v>
      </c>
      <c r="B150" s="123">
        <v>136167</v>
      </c>
      <c r="C150" s="123">
        <v>-46849</v>
      </c>
      <c r="D150" s="123">
        <v>183016</v>
      </c>
      <c r="E150" s="123">
        <v>878823</v>
      </c>
      <c r="F150" s="123">
        <v>675201</v>
      </c>
      <c r="G150" s="154">
        <v>6232</v>
      </c>
      <c r="H150" s="154">
        <v>170314</v>
      </c>
      <c r="I150" s="191">
        <v>4875</v>
      </c>
      <c r="J150" s="154">
        <v>22201</v>
      </c>
      <c r="K150" s="154"/>
      <c r="L150" s="154">
        <v>433749</v>
      </c>
      <c r="M150" s="154">
        <v>348655</v>
      </c>
      <c r="N150" s="154">
        <v>782404</v>
      </c>
      <c r="O150" s="154">
        <v>225</v>
      </c>
      <c r="P150" s="154">
        <v>24986</v>
      </c>
      <c r="Q150" s="154">
        <v>4400402</v>
      </c>
      <c r="R150" s="154">
        <v>-233027</v>
      </c>
      <c r="S150" s="64" t="s">
        <v>31</v>
      </c>
      <c r="T150" s="112"/>
    </row>
    <row r="151" spans="1:20" ht="12.75" hidden="1">
      <c r="A151" s="64" t="s">
        <v>32</v>
      </c>
      <c r="B151" s="123">
        <v>147843</v>
      </c>
      <c r="C151" s="123">
        <v>-66835</v>
      </c>
      <c r="D151" s="123">
        <v>214679</v>
      </c>
      <c r="E151" s="123">
        <v>919118</v>
      </c>
      <c r="F151" s="123">
        <v>724760</v>
      </c>
      <c r="G151" s="154">
        <v>5300</v>
      </c>
      <c r="H151" s="154">
        <v>174920</v>
      </c>
      <c r="I151" s="191">
        <v>4875</v>
      </c>
      <c r="J151" s="154">
        <v>9263</v>
      </c>
      <c r="K151" s="154"/>
      <c r="L151" s="154">
        <v>428982</v>
      </c>
      <c r="M151" s="154">
        <v>387273</v>
      </c>
      <c r="N151" s="154">
        <v>816255</v>
      </c>
      <c r="O151" s="154">
        <v>237</v>
      </c>
      <c r="P151" s="154">
        <v>24973</v>
      </c>
      <c r="Q151" s="154">
        <v>444921</v>
      </c>
      <c r="R151" s="154">
        <v>-219425</v>
      </c>
      <c r="S151" s="64" t="s">
        <v>32</v>
      </c>
      <c r="T151" s="112"/>
    </row>
    <row r="152" spans="1:20" ht="12.75" hidden="1">
      <c r="A152" s="64" t="s">
        <v>87</v>
      </c>
      <c r="B152" s="123">
        <v>107647</v>
      </c>
      <c r="C152" s="123">
        <v>-81464</v>
      </c>
      <c r="D152" s="123">
        <v>189111</v>
      </c>
      <c r="E152" s="123">
        <v>959302</v>
      </c>
      <c r="F152" s="123">
        <v>757404</v>
      </c>
      <c r="G152" s="154">
        <v>5628</v>
      </c>
      <c r="H152" s="154">
        <v>177094</v>
      </c>
      <c r="I152" s="154">
        <v>4912</v>
      </c>
      <c r="J152" s="154">
        <v>14264</v>
      </c>
      <c r="K152" s="154"/>
      <c r="L152" s="154">
        <v>458664</v>
      </c>
      <c r="M152" s="154">
        <v>359312</v>
      </c>
      <c r="N152" s="154">
        <v>817976</v>
      </c>
      <c r="O152" s="154">
        <v>301</v>
      </c>
      <c r="P152" s="154">
        <v>25124</v>
      </c>
      <c r="Q152" s="154">
        <v>450307</v>
      </c>
      <c r="R152" s="154">
        <v>-226758</v>
      </c>
      <c r="S152" s="64" t="s">
        <v>33</v>
      </c>
      <c r="T152" s="112"/>
    </row>
    <row r="153" spans="1:20" ht="12.75" hidden="1">
      <c r="A153" s="64" t="s">
        <v>35</v>
      </c>
      <c r="B153" s="123">
        <v>101973</v>
      </c>
      <c r="C153" s="123">
        <v>-84825</v>
      </c>
      <c r="D153" s="123">
        <v>186798</v>
      </c>
      <c r="E153" s="123">
        <v>979040</v>
      </c>
      <c r="F153" s="123">
        <v>767838</v>
      </c>
      <c r="G153" s="154">
        <v>4685</v>
      </c>
      <c r="H153" s="154">
        <v>183191</v>
      </c>
      <c r="I153" s="154">
        <v>4875</v>
      </c>
      <c r="J153" s="154">
        <v>18451</v>
      </c>
      <c r="K153" s="154"/>
      <c r="L153" s="154">
        <v>457254</v>
      </c>
      <c r="M153" s="154">
        <v>372217</v>
      </c>
      <c r="N153" s="154">
        <v>829470</v>
      </c>
      <c r="O153" s="154">
        <v>473</v>
      </c>
      <c r="P153" s="154">
        <v>25135</v>
      </c>
      <c r="Q153" s="154">
        <v>454804</v>
      </c>
      <c r="R153" s="154">
        <v>-228869</v>
      </c>
      <c r="S153" s="64" t="s">
        <v>35</v>
      </c>
      <c r="T153" s="112"/>
    </row>
    <row r="154" spans="1:20" ht="12.75" hidden="1">
      <c r="A154" s="64" t="s">
        <v>36</v>
      </c>
      <c r="B154" s="123">
        <v>73864</v>
      </c>
      <c r="C154" s="123">
        <v>-111498</v>
      </c>
      <c r="D154" s="123">
        <v>185362</v>
      </c>
      <c r="E154" s="123">
        <v>975355.01220711</v>
      </c>
      <c r="F154" s="129">
        <v>757185.1019549</v>
      </c>
      <c r="G154" s="154">
        <v>4724</v>
      </c>
      <c r="H154" s="154">
        <v>192240</v>
      </c>
      <c r="I154" s="154">
        <v>4875</v>
      </c>
      <c r="J154" s="154">
        <v>16330</v>
      </c>
      <c r="K154" s="154">
        <v>24091</v>
      </c>
      <c r="L154" s="154">
        <v>456329</v>
      </c>
      <c r="M154" s="154">
        <v>374079</v>
      </c>
      <c r="N154" s="154">
        <v>830408</v>
      </c>
      <c r="O154" s="154">
        <v>344</v>
      </c>
      <c r="P154" s="154">
        <v>25122</v>
      </c>
      <c r="Q154" s="154">
        <v>462040</v>
      </c>
      <c r="R154" s="154">
        <v>-244602.95370884897</v>
      </c>
      <c r="S154" s="64" t="s">
        <v>36</v>
      </c>
      <c r="T154" s="112"/>
    </row>
    <row r="155" spans="1:20" ht="12.75" hidden="1">
      <c r="A155" s="64" t="s">
        <v>88</v>
      </c>
      <c r="B155" s="123">
        <v>657400</v>
      </c>
      <c r="C155" s="123">
        <v>447775</v>
      </c>
      <c r="D155" s="123">
        <v>209626</v>
      </c>
      <c r="E155" s="123">
        <v>932556.3702997898</v>
      </c>
      <c r="F155" s="96">
        <v>718954</v>
      </c>
      <c r="G155" s="154">
        <v>5242</v>
      </c>
      <c r="H155" s="154">
        <v>189190</v>
      </c>
      <c r="I155" s="154">
        <v>4875</v>
      </c>
      <c r="J155" s="154">
        <v>14377</v>
      </c>
      <c r="K155" s="154">
        <v>44821</v>
      </c>
      <c r="L155" s="154">
        <v>489297.58654239995</v>
      </c>
      <c r="M155" s="154">
        <v>390210</v>
      </c>
      <c r="N155" s="154">
        <v>879571</v>
      </c>
      <c r="O155" s="154">
        <v>161</v>
      </c>
      <c r="P155" s="154">
        <v>25026</v>
      </c>
      <c r="Q155" s="154">
        <v>489601.80036496994</v>
      </c>
      <c r="R155" s="154">
        <v>240472.6175057502</v>
      </c>
      <c r="S155" s="64" t="s">
        <v>37</v>
      </c>
      <c r="T155" s="112"/>
    </row>
    <row r="156" spans="1:20" ht="12.75" hidden="1">
      <c r="A156" s="64"/>
      <c r="B156" s="106"/>
      <c r="T156" s="112"/>
    </row>
    <row r="157" spans="1:20" ht="12.75" hidden="1">
      <c r="A157" s="6">
        <v>2007</v>
      </c>
      <c r="F157" s="106"/>
      <c r="S157" s="6">
        <v>2007</v>
      </c>
      <c r="T157" s="112"/>
    </row>
    <row r="158" spans="1:20" ht="12.75" hidden="1">
      <c r="A158" s="64" t="s">
        <v>25</v>
      </c>
      <c r="B158" s="123">
        <v>661766.7752239837</v>
      </c>
      <c r="C158" s="123">
        <v>450413.88804498373</v>
      </c>
      <c r="D158" s="123">
        <v>211352.88717899998</v>
      </c>
      <c r="E158" s="123">
        <v>941390.0595805</v>
      </c>
      <c r="F158" s="123">
        <v>713591.8155790499</v>
      </c>
      <c r="G158" s="154">
        <v>5165.906705859999</v>
      </c>
      <c r="H158" s="154">
        <v>197970.2994054</v>
      </c>
      <c r="I158" s="154">
        <v>4876.01498049</v>
      </c>
      <c r="J158" s="154">
        <v>19786.0229097</v>
      </c>
      <c r="K158" s="154">
        <v>43542</v>
      </c>
      <c r="L158" s="154">
        <v>476884.23369073996</v>
      </c>
      <c r="M158" s="154">
        <v>399400.29951912</v>
      </c>
      <c r="N158" s="154">
        <v>879507.63733352</v>
      </c>
      <c r="O158" s="154">
        <v>359.15301956</v>
      </c>
      <c r="P158" s="154">
        <v>25163.71619225</v>
      </c>
      <c r="Q158" s="154">
        <v>516191.46580284997</v>
      </c>
      <c r="R158" s="154">
        <v>228699.96657996386</v>
      </c>
      <c r="S158" s="64" t="s">
        <v>25</v>
      </c>
      <c r="T158" s="112"/>
    </row>
    <row r="159" spans="1:20" ht="12.75" hidden="1">
      <c r="A159" s="64" t="s">
        <v>26</v>
      </c>
      <c r="B159" s="123">
        <v>673673.6601070601</v>
      </c>
      <c r="C159" s="123">
        <v>445531.10710706003</v>
      </c>
      <c r="D159" s="123">
        <v>228142.553</v>
      </c>
      <c r="E159" s="123">
        <v>974005.27055252</v>
      </c>
      <c r="F159" s="123">
        <v>743584.16642111</v>
      </c>
      <c r="G159" s="154">
        <v>4835.64470586</v>
      </c>
      <c r="H159" s="154">
        <v>200673.65694510003</v>
      </c>
      <c r="I159" s="154">
        <v>4875.170954</v>
      </c>
      <c r="J159" s="154">
        <v>20036.631526449997</v>
      </c>
      <c r="K159" s="154">
        <v>40717</v>
      </c>
      <c r="L159" s="154">
        <v>501660.24139344005</v>
      </c>
      <c r="M159" s="154">
        <v>420100.40779112</v>
      </c>
      <c r="N159" s="154">
        <v>921760.64918456</v>
      </c>
      <c r="O159" s="154">
        <v>200.26611456</v>
      </c>
      <c r="P159" s="154">
        <v>25123.65998044</v>
      </c>
      <c r="Q159" s="154">
        <v>519587.66064904</v>
      </c>
      <c r="R159" s="154">
        <v>221723.69468797994</v>
      </c>
      <c r="S159" s="64" t="s">
        <v>26</v>
      </c>
      <c r="T159" s="112"/>
    </row>
    <row r="160" spans="1:20" ht="12.75" hidden="1">
      <c r="A160" s="64" t="s">
        <v>27</v>
      </c>
      <c r="B160" s="123">
        <v>680534.0090156399</v>
      </c>
      <c r="C160" s="123">
        <v>432495.3870156399</v>
      </c>
      <c r="D160" s="123">
        <v>248038.622</v>
      </c>
      <c r="E160" s="123">
        <v>1000263.94683897</v>
      </c>
      <c r="F160" s="123">
        <v>766941.13333425</v>
      </c>
      <c r="G160" s="154">
        <v>6913.36370586</v>
      </c>
      <c r="H160" s="154">
        <v>202654.35580546</v>
      </c>
      <c r="I160" s="154">
        <v>4875.170954</v>
      </c>
      <c r="J160" s="154">
        <v>18879.923039399997</v>
      </c>
      <c r="K160" s="154">
        <v>46314</v>
      </c>
      <c r="L160" s="154">
        <v>519142.56619443</v>
      </c>
      <c r="M160" s="154">
        <v>440401.78879112</v>
      </c>
      <c r="N160" s="154">
        <v>959544.35498555</v>
      </c>
      <c r="O160" s="154">
        <v>304.48461456</v>
      </c>
      <c r="P160" s="154">
        <v>25117.34860252</v>
      </c>
      <c r="Q160" s="154">
        <v>513999.5528969</v>
      </c>
      <c r="R160" s="154">
        <v>228146.21471208008</v>
      </c>
      <c r="S160" s="64" t="s">
        <v>27</v>
      </c>
      <c r="T160" s="112"/>
    </row>
    <row r="161" spans="1:20" ht="12.75" hidden="1">
      <c r="A161" s="64" t="s">
        <v>28</v>
      </c>
      <c r="B161" s="123">
        <v>691499.9848974815</v>
      </c>
      <c r="C161" s="123">
        <v>430996.20089748147</v>
      </c>
      <c r="D161" s="123">
        <v>260503.784</v>
      </c>
      <c r="E161" s="123">
        <v>997300.8762396701</v>
      </c>
      <c r="F161" s="123">
        <v>752696.82796981</v>
      </c>
      <c r="G161" s="154">
        <v>7553.53270586</v>
      </c>
      <c r="H161" s="154">
        <v>213515.17325605004</v>
      </c>
      <c r="I161" s="154">
        <v>4875.170954</v>
      </c>
      <c r="J161" s="154">
        <v>18660.17135395</v>
      </c>
      <c r="K161" s="154">
        <v>48967</v>
      </c>
      <c r="L161" s="154">
        <v>528539.18595985</v>
      </c>
      <c r="M161" s="154">
        <v>448272.01138112</v>
      </c>
      <c r="N161" s="154">
        <v>976811.1973409699</v>
      </c>
      <c r="O161" s="154">
        <v>281.45676456</v>
      </c>
      <c r="P161" s="154">
        <v>25155.3010217</v>
      </c>
      <c r="Q161" s="154">
        <v>511966.72005148395</v>
      </c>
      <c r="R161" s="154">
        <v>223553.18591543753</v>
      </c>
      <c r="S161" s="64" t="s">
        <v>28</v>
      </c>
      <c r="T161" s="112"/>
    </row>
    <row r="162" spans="1:20" ht="12.75" hidden="1">
      <c r="A162" s="64" t="s">
        <v>29</v>
      </c>
      <c r="B162" s="123">
        <v>692659.576542803</v>
      </c>
      <c r="C162" s="123">
        <v>420666.39254280296</v>
      </c>
      <c r="D162" s="123">
        <v>271993.184</v>
      </c>
      <c r="E162" s="123">
        <v>984859.9468308</v>
      </c>
      <c r="F162" s="123">
        <v>733311.05678943</v>
      </c>
      <c r="G162" s="154">
        <v>7816.10170586</v>
      </c>
      <c r="H162" s="154">
        <v>218374.96537432002</v>
      </c>
      <c r="I162" s="154">
        <v>4916.29856714</v>
      </c>
      <c r="J162" s="154">
        <v>20441.52439405</v>
      </c>
      <c r="K162" s="154">
        <v>51325</v>
      </c>
      <c r="L162" s="154">
        <v>512576.14233072003</v>
      </c>
      <c r="M162" s="154">
        <v>447502.39879112</v>
      </c>
      <c r="N162" s="154">
        <v>960078.54112184</v>
      </c>
      <c r="O162" s="154">
        <v>246.38286831</v>
      </c>
      <c r="P162" s="154">
        <v>25112.63610702</v>
      </c>
      <c r="Q162" s="154">
        <v>343016.13804452</v>
      </c>
      <c r="R162" s="154">
        <v>400390.8251889129</v>
      </c>
      <c r="S162" s="64" t="s">
        <v>29</v>
      </c>
      <c r="T162" s="112"/>
    </row>
    <row r="163" spans="1:20" ht="12.75" hidden="1">
      <c r="A163" s="64" t="s">
        <v>30</v>
      </c>
      <c r="B163" s="123">
        <v>696280.8868968727</v>
      </c>
      <c r="C163" s="123">
        <v>428165.57189687266</v>
      </c>
      <c r="D163" s="123">
        <v>268115.315</v>
      </c>
      <c r="E163" s="123">
        <v>992200.4793327003</v>
      </c>
      <c r="F163" s="123">
        <v>735850.1285549202</v>
      </c>
      <c r="G163" s="154">
        <v>10973.60270586</v>
      </c>
      <c r="H163" s="154">
        <v>223933.58793782</v>
      </c>
      <c r="I163" s="154">
        <v>4875.170954</v>
      </c>
      <c r="J163" s="154">
        <v>16567.9891801</v>
      </c>
      <c r="K163" s="154">
        <v>51325</v>
      </c>
      <c r="L163" s="154">
        <v>516783.35084566</v>
      </c>
      <c r="M163" s="154">
        <v>448890.90279112</v>
      </c>
      <c r="N163" s="154">
        <v>965674.25363678</v>
      </c>
      <c r="O163" s="154">
        <v>173.41953830999998</v>
      </c>
      <c r="P163" s="154">
        <v>25138.386528900002</v>
      </c>
      <c r="Q163" s="154">
        <v>352284.2435466</v>
      </c>
      <c r="R163" s="154">
        <v>396536.0639359826</v>
      </c>
      <c r="S163" s="64" t="s">
        <v>30</v>
      </c>
      <c r="T163" s="112"/>
    </row>
    <row r="164" spans="1:20" ht="12.75" hidden="1">
      <c r="A164" s="64" t="s">
        <v>31</v>
      </c>
      <c r="B164" s="123">
        <v>705564.9883908062</v>
      </c>
      <c r="C164" s="123">
        <v>426072.3383908062</v>
      </c>
      <c r="D164" s="123">
        <v>279492.65</v>
      </c>
      <c r="E164" s="123">
        <v>1007202.5419088099</v>
      </c>
      <c r="F164" s="123">
        <v>759102.2358508301</v>
      </c>
      <c r="G164" s="154">
        <v>8665.54670586</v>
      </c>
      <c r="H164" s="154">
        <v>225480.17998252</v>
      </c>
      <c r="I164" s="154">
        <v>4875.170954</v>
      </c>
      <c r="J164" s="154">
        <v>9079.408415599999</v>
      </c>
      <c r="K164" s="154">
        <v>51325</v>
      </c>
      <c r="L164" s="154">
        <v>517629.76323784003</v>
      </c>
      <c r="M164" s="154">
        <v>466511.13524112</v>
      </c>
      <c r="N164" s="154">
        <v>984140.89847896</v>
      </c>
      <c r="O164" s="154">
        <v>166.41738831</v>
      </c>
      <c r="P164" s="154">
        <v>25116.422933759997</v>
      </c>
      <c r="Q164" s="154">
        <v>361175.785749475</v>
      </c>
      <c r="R164" s="154">
        <v>393493.0027491113</v>
      </c>
      <c r="S164" s="64" t="s">
        <v>31</v>
      </c>
      <c r="T164" s="112"/>
    </row>
    <row r="165" spans="1:20" ht="12.75" hidden="1">
      <c r="A165" s="64" t="s">
        <v>32</v>
      </c>
      <c r="B165" s="123">
        <v>720568.0915688648</v>
      </c>
      <c r="C165" s="123">
        <v>449434.65956886474</v>
      </c>
      <c r="D165" s="123">
        <v>271133.432</v>
      </c>
      <c r="E165" s="123">
        <v>985813.60134416</v>
      </c>
      <c r="F165" s="123">
        <v>729876.1077406399</v>
      </c>
      <c r="G165" s="154">
        <v>7414.43570586</v>
      </c>
      <c r="H165" s="154">
        <v>233725.34967061</v>
      </c>
      <c r="I165" s="154">
        <v>4875.170954</v>
      </c>
      <c r="J165" s="154">
        <v>9922.53727305</v>
      </c>
      <c r="K165" s="154">
        <v>51819</v>
      </c>
      <c r="L165" s="154">
        <v>511912.3963246001</v>
      </c>
      <c r="M165" s="154">
        <v>471603.15324112</v>
      </c>
      <c r="N165" s="154">
        <v>983515.5495657201</v>
      </c>
      <c r="O165" s="154">
        <v>164.88605705999998</v>
      </c>
      <c r="P165" s="154">
        <v>25100.181654599997</v>
      </c>
      <c r="Q165" s="154">
        <v>362463.55512643</v>
      </c>
      <c r="R165" s="154">
        <v>386956.51750921464</v>
      </c>
      <c r="S165" s="64" t="s">
        <v>32</v>
      </c>
      <c r="T165" s="112"/>
    </row>
    <row r="166" spans="1:20" ht="12.75" hidden="1">
      <c r="A166" s="64" t="s">
        <v>33</v>
      </c>
      <c r="B166" s="123">
        <v>703946.49394107</v>
      </c>
      <c r="C166" s="123">
        <v>446416.86610571004</v>
      </c>
      <c r="D166" s="123">
        <v>257529.62783536</v>
      </c>
      <c r="E166" s="123">
        <v>1010721.0392040198</v>
      </c>
      <c r="F166" s="123">
        <v>743563.4959723599</v>
      </c>
      <c r="G166" s="154">
        <v>6549.97570586</v>
      </c>
      <c r="H166" s="154">
        <v>246868.37737959</v>
      </c>
      <c r="I166" s="154">
        <v>4875.170954</v>
      </c>
      <c r="J166" s="154">
        <v>8864.019192209998</v>
      </c>
      <c r="K166" s="154">
        <v>46819</v>
      </c>
      <c r="L166" s="154">
        <v>506660.34841604007</v>
      </c>
      <c r="M166" s="154">
        <v>463703.56476126</v>
      </c>
      <c r="N166" s="154">
        <v>970363.9131773</v>
      </c>
      <c r="O166" s="154">
        <v>152.61812706</v>
      </c>
      <c r="P166" s="154">
        <v>25107.755308099997</v>
      </c>
      <c r="Q166" s="154">
        <v>385593.311754743</v>
      </c>
      <c r="R166" s="154">
        <v>380268.93592034956</v>
      </c>
      <c r="S166" s="64" t="s">
        <v>33</v>
      </c>
      <c r="T166" s="112"/>
    </row>
    <row r="167" spans="1:20" ht="12.75" hidden="1">
      <c r="A167" s="64" t="s">
        <v>35</v>
      </c>
      <c r="B167" s="123">
        <v>720340.26413518</v>
      </c>
      <c r="C167" s="123">
        <v>444885.6985544301</v>
      </c>
      <c r="D167" s="123">
        <v>275454.56558075</v>
      </c>
      <c r="E167" s="123">
        <v>1026482.0945193099</v>
      </c>
      <c r="F167" s="123">
        <v>750761.11205657</v>
      </c>
      <c r="G167" s="154">
        <v>6365.64970586</v>
      </c>
      <c r="H167" s="154">
        <v>256947.44496400998</v>
      </c>
      <c r="I167" s="154">
        <v>4875.170954</v>
      </c>
      <c r="J167" s="154">
        <v>7532.716838869999</v>
      </c>
      <c r="K167" s="154">
        <v>46223</v>
      </c>
      <c r="L167" s="154">
        <v>499623.0929032101</v>
      </c>
      <c r="M167" s="154">
        <v>479574.5416993701</v>
      </c>
      <c r="N167" s="154">
        <v>979197.6346025802</v>
      </c>
      <c r="O167" s="154">
        <v>185.30165205999998</v>
      </c>
      <c r="P167" s="154">
        <v>25134.094791919997</v>
      </c>
      <c r="Q167" s="154">
        <v>395469.04375122</v>
      </c>
      <c r="R167" s="154">
        <v>393059.28314247256</v>
      </c>
      <c r="S167" s="64" t="s">
        <v>35</v>
      </c>
      <c r="T167" s="112"/>
    </row>
    <row r="168" spans="1:20" ht="12.75" hidden="1">
      <c r="A168" s="64" t="s">
        <v>36</v>
      </c>
      <c r="B168" s="123">
        <v>777303.93329347</v>
      </c>
      <c r="C168" s="123">
        <v>473250.48709817993</v>
      </c>
      <c r="D168" s="123">
        <v>304053.44619529</v>
      </c>
      <c r="E168" s="123">
        <v>1024289.4547496701</v>
      </c>
      <c r="F168" s="123">
        <v>741038.09105863</v>
      </c>
      <c r="G168" s="154">
        <v>6614.58370586</v>
      </c>
      <c r="H168" s="154">
        <v>267439.84158602</v>
      </c>
      <c r="I168" s="154">
        <v>4875.170954</v>
      </c>
      <c r="J168" s="154">
        <v>4321.76744516</v>
      </c>
      <c r="K168" s="154">
        <v>42500</v>
      </c>
      <c r="L168" s="154">
        <v>519078.7090942301</v>
      </c>
      <c r="M168" s="154">
        <v>491405.98583087994</v>
      </c>
      <c r="N168" s="154">
        <v>1010484.6949251101</v>
      </c>
      <c r="O168" s="154">
        <v>282.52424580999997</v>
      </c>
      <c r="P168" s="154">
        <v>25101.10732336</v>
      </c>
      <c r="Q168" s="154">
        <v>420200.66071744595</v>
      </c>
      <c r="R168" s="154">
        <v>388024.4013325779</v>
      </c>
      <c r="S168" s="64" t="s">
        <v>36</v>
      </c>
      <c r="T168" s="112"/>
    </row>
    <row r="169" spans="1:20" s="126" customFormat="1" ht="12.75" hidden="1">
      <c r="A169" s="89" t="s">
        <v>37</v>
      </c>
      <c r="B169" s="96">
        <v>882641.7029012402</v>
      </c>
      <c r="C169" s="96">
        <v>536196.3357594102</v>
      </c>
      <c r="D169" s="96">
        <v>346445.36714183004</v>
      </c>
      <c r="E169" s="96">
        <v>485005.20964526</v>
      </c>
      <c r="F169" s="96">
        <v>200649</v>
      </c>
      <c r="G169" s="192">
        <v>8386.020705859999</v>
      </c>
      <c r="H169" s="192">
        <v>263749.53637534</v>
      </c>
      <c r="I169" s="192">
        <v>4875.170954</v>
      </c>
      <c r="J169" s="192">
        <v>7345.48161006</v>
      </c>
      <c r="K169" s="192">
        <v>36237</v>
      </c>
      <c r="L169" s="192">
        <v>549580.5086427601</v>
      </c>
      <c r="M169" s="192">
        <v>529120.9065145301</v>
      </c>
      <c r="N169" s="192">
        <v>1078701.4151572902</v>
      </c>
      <c r="O169" s="192">
        <v>136.86559793000004</v>
      </c>
      <c r="P169" s="192">
        <v>25056.92767797</v>
      </c>
      <c r="Q169" s="192">
        <v>442512.80569338</v>
      </c>
      <c r="R169" s="192">
        <v>-142524.03809551225</v>
      </c>
      <c r="S169" s="89" t="s">
        <v>37</v>
      </c>
      <c r="T169" s="125"/>
    </row>
    <row r="170" spans="2:20" ht="12.75" hidden="1">
      <c r="B170" s="106"/>
      <c r="T170" s="112"/>
    </row>
    <row r="171" spans="5:20" ht="12.75" hidden="1">
      <c r="E171" s="106"/>
      <c r="T171" s="112"/>
    </row>
    <row r="172" spans="1:20" ht="12.75" hidden="1">
      <c r="A172" s="43">
        <v>2008</v>
      </c>
      <c r="B172" s="123"/>
      <c r="C172" s="123"/>
      <c r="D172" s="123"/>
      <c r="E172" s="123"/>
      <c r="F172" s="123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6">
        <v>2008</v>
      </c>
      <c r="T172" s="112"/>
    </row>
    <row r="173" spans="1:20" ht="12.75" hidden="1">
      <c r="A173" s="64" t="s">
        <v>25</v>
      </c>
      <c r="B173" s="123">
        <v>826002.1930131937</v>
      </c>
      <c r="C173" s="123">
        <v>529820.4877233638</v>
      </c>
      <c r="D173" s="123">
        <v>296181.70528983</v>
      </c>
      <c r="E173" s="123">
        <v>493426.47330136003</v>
      </c>
      <c r="F173" s="123">
        <v>187336.70493074</v>
      </c>
      <c r="G173" s="154">
        <v>11075.45751179</v>
      </c>
      <c r="H173" s="154">
        <v>278091.63388987</v>
      </c>
      <c r="I173" s="154">
        <v>4877.153764</v>
      </c>
      <c r="J173" s="154">
        <v>12045.52320496</v>
      </c>
      <c r="K173" s="154">
        <f>16886+16518</f>
        <v>33404</v>
      </c>
      <c r="L173" s="154">
        <v>551939.40838828</v>
      </c>
      <c r="M173" s="154">
        <v>508321.1618264</v>
      </c>
      <c r="N173" s="154">
        <v>1060260.57021468</v>
      </c>
      <c r="O173" s="154">
        <v>151.33715755</v>
      </c>
      <c r="P173" s="154">
        <v>25032.860290200002</v>
      </c>
      <c r="Q173" s="154">
        <v>446369.52722172096</v>
      </c>
      <c r="R173" s="154">
        <v>-178981.6280426173</v>
      </c>
      <c r="S173" s="64" t="s">
        <v>25</v>
      </c>
      <c r="T173" s="112"/>
    </row>
    <row r="174" spans="1:20" ht="12.75" hidden="1">
      <c r="A174" s="64" t="s">
        <v>26</v>
      </c>
      <c r="B174" s="123">
        <v>810967.5038857498</v>
      </c>
      <c r="C174" s="123">
        <v>492608.81119658984</v>
      </c>
      <c r="D174" s="123">
        <v>318358.69268915994</v>
      </c>
      <c r="E174" s="123">
        <v>504476.11322153</v>
      </c>
      <c r="F174" s="123">
        <v>182300</v>
      </c>
      <c r="G174" s="154">
        <v>10602.724266800002</v>
      </c>
      <c r="H174" s="154">
        <v>285744.78620787</v>
      </c>
      <c r="I174" s="154">
        <v>4877.153764</v>
      </c>
      <c r="J174" s="154">
        <v>20951.44898286</v>
      </c>
      <c r="K174" s="154">
        <f>14613+18900</f>
        <v>33513</v>
      </c>
      <c r="L174" s="154">
        <v>543648.75988127</v>
      </c>
      <c r="M174" s="154">
        <v>524404.8521559499</v>
      </c>
      <c r="N174" s="154">
        <v>1068053.61203722</v>
      </c>
      <c r="O174" s="154">
        <v>175.91334618999997</v>
      </c>
      <c r="P174" s="154">
        <v>25019.480169029997</v>
      </c>
      <c r="Q174" s="154">
        <v>458912.923077489</v>
      </c>
      <c r="R174" s="154">
        <v>-203195.55161188176</v>
      </c>
      <c r="S174" s="64" t="s">
        <v>26</v>
      </c>
      <c r="T174" s="112"/>
    </row>
    <row r="175" spans="1:20" ht="12.75" hidden="1">
      <c r="A175" s="64" t="s">
        <v>27</v>
      </c>
      <c r="B175" s="123">
        <v>824303.6232598104</v>
      </c>
      <c r="C175" s="123">
        <v>502734.2739446503</v>
      </c>
      <c r="D175" s="123">
        <v>321569.34931516007</v>
      </c>
      <c r="E175" s="123">
        <v>501057.96706121</v>
      </c>
      <c r="F175" s="123">
        <v>174349.79425117007</v>
      </c>
      <c r="G175" s="154">
        <v>11049.100705859999</v>
      </c>
      <c r="H175" s="154">
        <v>297334.66735867</v>
      </c>
      <c r="I175" s="154">
        <v>4917.9120656000005</v>
      </c>
      <c r="J175" s="154">
        <v>13406.49267991</v>
      </c>
      <c r="K175" s="154">
        <f>24500+18000</f>
        <v>42500</v>
      </c>
      <c r="L175" s="154">
        <v>547525.90682864</v>
      </c>
      <c r="M175" s="154">
        <v>539713.59642345</v>
      </c>
      <c r="N175" s="154">
        <v>1087239.50325209</v>
      </c>
      <c r="O175" s="154">
        <v>235.95317993999998</v>
      </c>
      <c r="P175" s="154">
        <v>25001.13509723</v>
      </c>
      <c r="Q175" s="154">
        <v>482982.55833704886</v>
      </c>
      <c r="R175" s="154">
        <v>-227597.55895537505</v>
      </c>
      <c r="S175" s="64" t="s">
        <v>27</v>
      </c>
      <c r="T175" s="112"/>
    </row>
    <row r="176" spans="1:20" ht="12.75" hidden="1">
      <c r="A176" s="64" t="s">
        <v>28</v>
      </c>
      <c r="B176" s="123">
        <v>837738.1720998831</v>
      </c>
      <c r="C176" s="123">
        <v>489523.2827008729</v>
      </c>
      <c r="D176" s="123">
        <v>348214.88939901</v>
      </c>
      <c r="E176" s="123">
        <v>522181.2071602199</v>
      </c>
      <c r="F176" s="123">
        <v>160889.50610643992</v>
      </c>
      <c r="G176" s="154">
        <v>11132.56770586</v>
      </c>
      <c r="H176" s="154">
        <v>317230.45362097997</v>
      </c>
      <c r="I176" s="154">
        <v>4917.9120656000005</v>
      </c>
      <c r="J176" s="154">
        <v>28010.767661340004</v>
      </c>
      <c r="K176" s="154">
        <f>18208+23685</f>
        <v>41893</v>
      </c>
      <c r="L176" s="154">
        <v>564638.7505204601</v>
      </c>
      <c r="M176" s="154">
        <v>562689.47867535</v>
      </c>
      <c r="N176" s="154">
        <v>1127328.22919581</v>
      </c>
      <c r="O176" s="154">
        <v>305.34085994</v>
      </c>
      <c r="P176" s="154">
        <v>24991.5418028</v>
      </c>
      <c r="Q176" s="154">
        <v>462688.25183998933</v>
      </c>
      <c r="R176" s="154">
        <v>-213500.98500125197</v>
      </c>
      <c r="S176" s="64" t="s">
        <v>28</v>
      </c>
      <c r="T176" s="112"/>
    </row>
    <row r="177" spans="1:20" ht="12.75" hidden="1">
      <c r="A177" s="64" t="s">
        <v>29</v>
      </c>
      <c r="B177" s="123">
        <v>819979.0513066046</v>
      </c>
      <c r="C177" s="123">
        <v>489140.89211745467</v>
      </c>
      <c r="D177" s="123">
        <v>330838.15918914997</v>
      </c>
      <c r="E177" s="123">
        <v>519923.93155271997</v>
      </c>
      <c r="F177" s="123">
        <v>167610.68800495996</v>
      </c>
      <c r="G177" s="154">
        <v>11356.41870586</v>
      </c>
      <c r="H177" s="154">
        <v>310129.45783574</v>
      </c>
      <c r="I177" s="154">
        <v>4908.783454</v>
      </c>
      <c r="J177" s="154">
        <v>25918.583552160002</v>
      </c>
      <c r="K177" s="154">
        <f>14439+30284</f>
        <v>44723</v>
      </c>
      <c r="L177" s="154">
        <v>584905.98827947</v>
      </c>
      <c r="M177" s="154">
        <v>540197.7465753501</v>
      </c>
      <c r="N177" s="154">
        <v>1125103.7348548202</v>
      </c>
      <c r="O177" s="154">
        <v>570.53117244</v>
      </c>
      <c r="P177" s="154">
        <v>24998.947152880002</v>
      </c>
      <c r="Q177" s="154">
        <v>448098.966901948</v>
      </c>
      <c r="R177" s="154">
        <v>-214146.19838017726</v>
      </c>
      <c r="S177" s="64" t="s">
        <v>29</v>
      </c>
      <c r="T177" s="112"/>
    </row>
    <row r="178" spans="1:20" ht="12.75" hidden="1">
      <c r="A178" s="64" t="s">
        <v>30</v>
      </c>
      <c r="B178" s="123">
        <v>821425.9970957623</v>
      </c>
      <c r="C178" s="123">
        <v>477473.2440645622</v>
      </c>
      <c r="D178" s="123">
        <v>343952.7530312</v>
      </c>
      <c r="E178" s="123">
        <f aca="true" t="shared" si="9" ref="E178:E184">F178+G178+H178+I178+J178</f>
        <v>542208.1989579898</v>
      </c>
      <c r="F178" s="123">
        <v>192340.8331616098</v>
      </c>
      <c r="G178" s="154">
        <v>10402.68227219</v>
      </c>
      <c r="H178" s="154">
        <v>316960.47207382</v>
      </c>
      <c r="I178" s="154">
        <v>4908.783454</v>
      </c>
      <c r="J178" s="154">
        <v>17595.427996370003</v>
      </c>
      <c r="K178" s="154">
        <f>4459+38037</f>
        <v>42496</v>
      </c>
      <c r="L178" s="154">
        <v>591058.23702081</v>
      </c>
      <c r="M178" s="154">
        <v>563036.6714217201</v>
      </c>
      <c r="N178" s="154">
        <v>1154094.90844253</v>
      </c>
      <c r="O178" s="154">
        <v>545.7753224400001</v>
      </c>
      <c r="P178" s="154">
        <v>24991.37349939</v>
      </c>
      <c r="Q178" s="154">
        <v>445389.7435986609</v>
      </c>
      <c r="R178" s="154">
        <v>-218891.05500992993</v>
      </c>
      <c r="S178" s="64" t="s">
        <v>30</v>
      </c>
      <c r="T178" s="112"/>
    </row>
    <row r="179" spans="1:20" ht="12.75" hidden="1">
      <c r="A179" s="64" t="s">
        <v>31</v>
      </c>
      <c r="B179" s="123">
        <v>791551.0972556234</v>
      </c>
      <c r="C179" s="123">
        <v>501292.00444265344</v>
      </c>
      <c r="D179" s="123">
        <v>290259.09281297</v>
      </c>
      <c r="E179" s="96">
        <f t="shared" si="9"/>
        <v>528291.7372187361</v>
      </c>
      <c r="F179" s="96">
        <v>168039.3627397261</v>
      </c>
      <c r="G179" s="154">
        <v>11779.52170586</v>
      </c>
      <c r="H179" s="154">
        <v>329081.96074098995</v>
      </c>
      <c r="I179" s="154">
        <v>4908.783454</v>
      </c>
      <c r="J179" s="154">
        <v>14482.10857816</v>
      </c>
      <c r="K179" s="154">
        <v>41091</v>
      </c>
      <c r="L179" s="154">
        <v>579776.4217757914</v>
      </c>
      <c r="M179" s="154">
        <v>559196.6623852048</v>
      </c>
      <c r="N179" s="154">
        <v>1138973.0841609961</v>
      </c>
      <c r="O179" s="154">
        <v>539.5485224399999</v>
      </c>
      <c r="P179" s="154">
        <v>24992.804078380002</v>
      </c>
      <c r="Q179" s="154">
        <v>443307.64686781</v>
      </c>
      <c r="R179" s="154">
        <v>-246879.24927000888</v>
      </c>
      <c r="S179" s="64" t="s">
        <v>31</v>
      </c>
      <c r="T179" s="112"/>
    </row>
    <row r="180" spans="1:20" ht="12.75" hidden="1">
      <c r="A180" s="64" t="s">
        <v>32</v>
      </c>
      <c r="B180" s="123">
        <v>833356.7030202732</v>
      </c>
      <c r="C180" s="123">
        <v>529611.9245632133</v>
      </c>
      <c r="D180" s="123">
        <v>303744.77845705993</v>
      </c>
      <c r="E180" s="96">
        <f t="shared" si="9"/>
        <v>537371.0765548302</v>
      </c>
      <c r="F180" s="96">
        <v>143176.45421620016</v>
      </c>
      <c r="G180" s="154">
        <v>12037.31670586</v>
      </c>
      <c r="H180" s="154">
        <v>351251.52250356</v>
      </c>
      <c r="I180" s="154">
        <v>4908.783454</v>
      </c>
      <c r="J180" s="154">
        <v>25996.99967521</v>
      </c>
      <c r="K180" s="154">
        <v>37500</v>
      </c>
      <c r="L180" s="154">
        <v>597351.22758423</v>
      </c>
      <c r="M180" s="154">
        <v>573132.7243804701</v>
      </c>
      <c r="N180" s="154">
        <v>1170483.9519647001</v>
      </c>
      <c r="O180" s="154">
        <v>541.0401649400001</v>
      </c>
      <c r="P180" s="154">
        <v>24972.439365650003</v>
      </c>
      <c r="Q180" s="154">
        <v>406026.24605778296</v>
      </c>
      <c r="R180" s="154">
        <v>-218895.98679201427</v>
      </c>
      <c r="S180" s="64" t="s">
        <v>32</v>
      </c>
      <c r="T180" s="112"/>
    </row>
    <row r="181" spans="1:20" ht="12.75" hidden="1">
      <c r="A181" s="64" t="s">
        <v>33</v>
      </c>
      <c r="B181" s="123">
        <v>801809.0716087309</v>
      </c>
      <c r="C181" s="123">
        <v>506736.5904905809</v>
      </c>
      <c r="D181" s="123">
        <v>295072.48111815</v>
      </c>
      <c r="E181" s="123">
        <f t="shared" si="9"/>
        <v>606127.5077077403</v>
      </c>
      <c r="F181" s="123">
        <v>199225.3071297603</v>
      </c>
      <c r="G181" s="154">
        <v>12625.18770586</v>
      </c>
      <c r="H181" s="154">
        <v>371599.86341051</v>
      </c>
      <c r="I181" s="154">
        <v>4908.783454</v>
      </c>
      <c r="J181" s="154">
        <v>17768.366007610002</v>
      </c>
      <c r="K181" s="154">
        <v>52000</v>
      </c>
      <c r="L181" s="154">
        <v>626751.20619159</v>
      </c>
      <c r="M181" s="154">
        <v>596417.64950601</v>
      </c>
      <c r="N181" s="154">
        <v>1223168.8556976002</v>
      </c>
      <c r="O181" s="154">
        <v>822.63473494</v>
      </c>
      <c r="P181" s="154">
        <v>25087.30644366</v>
      </c>
      <c r="Q181" s="154">
        <v>439402.3643916679</v>
      </c>
      <c r="R181" s="154">
        <v>-228544.5823922038</v>
      </c>
      <c r="S181" s="64" t="s">
        <v>33</v>
      </c>
      <c r="T181" s="112"/>
    </row>
    <row r="182" spans="1:20" ht="12.75" hidden="1">
      <c r="A182" s="64" t="s">
        <v>35</v>
      </c>
      <c r="B182" s="123">
        <v>832511.53659905</v>
      </c>
      <c r="C182" s="123">
        <v>477739.97210424</v>
      </c>
      <c r="D182" s="123">
        <v>354771.56449481007</v>
      </c>
      <c r="E182" s="123">
        <f t="shared" si="9"/>
        <v>625642.0307948401</v>
      </c>
      <c r="F182" s="123">
        <v>197719.49497629004</v>
      </c>
      <c r="G182" s="154">
        <v>14007.574493189999</v>
      </c>
      <c r="H182" s="154">
        <v>385265.47958944994</v>
      </c>
      <c r="I182" s="154">
        <v>4908.783454</v>
      </c>
      <c r="J182" s="154">
        <v>23740.698281909994</v>
      </c>
      <c r="K182" s="154">
        <v>67000</v>
      </c>
      <c r="L182" s="154">
        <v>612506.21254343</v>
      </c>
      <c r="M182" s="154">
        <v>645763.98544477</v>
      </c>
      <c r="N182" s="154">
        <v>1258270.1979882</v>
      </c>
      <c r="O182" s="154">
        <v>1043.5662624400002</v>
      </c>
      <c r="P182" s="154">
        <v>25251.7388762</v>
      </c>
      <c r="Q182" s="154">
        <v>404156.6765197208</v>
      </c>
      <c r="R182" s="154">
        <v>-163568.61197499093</v>
      </c>
      <c r="S182" s="64" t="s">
        <v>35</v>
      </c>
      <c r="T182" s="112"/>
    </row>
    <row r="183" spans="1:20" ht="12.75" hidden="1">
      <c r="A183" s="64" t="s">
        <v>36</v>
      </c>
      <c r="B183" s="123">
        <v>809132</v>
      </c>
      <c r="C183" s="96">
        <v>464275.49729384005</v>
      </c>
      <c r="D183" s="96">
        <v>344856.69957696</v>
      </c>
      <c r="E183" s="123">
        <f t="shared" si="9"/>
        <v>692892.9529399497</v>
      </c>
      <c r="F183" s="123">
        <v>226122.56094830966</v>
      </c>
      <c r="G183" s="154">
        <v>15844.725630419998</v>
      </c>
      <c r="H183" s="154">
        <v>418464.82095861</v>
      </c>
      <c r="I183" s="154">
        <v>4908.783454</v>
      </c>
      <c r="J183" s="154">
        <v>27552.06194861</v>
      </c>
      <c r="K183" s="154">
        <v>76500</v>
      </c>
      <c r="L183" s="154">
        <v>633448.84310957</v>
      </c>
      <c r="M183" s="154">
        <v>657444.81647603</v>
      </c>
      <c r="N183" s="154">
        <v>1290893.6595856</v>
      </c>
      <c r="O183" s="154">
        <v>1006.20213244</v>
      </c>
      <c r="P183" s="154">
        <v>25449.0746256</v>
      </c>
      <c r="Q183" s="154">
        <v>419714.7345960728</v>
      </c>
      <c r="R183" s="154">
        <v>-158538.52195642283</v>
      </c>
      <c r="S183" s="64" t="s">
        <v>36</v>
      </c>
      <c r="T183" s="112"/>
    </row>
    <row r="184" spans="1:20" ht="12.75" hidden="1">
      <c r="A184" s="64" t="s">
        <v>37</v>
      </c>
      <c r="B184" s="123">
        <v>832239.709689212</v>
      </c>
      <c r="C184" s="96">
        <v>479201.31937543204</v>
      </c>
      <c r="D184" s="96">
        <v>353038.39031378005</v>
      </c>
      <c r="E184" s="123">
        <f t="shared" si="9"/>
        <v>706855.2287953899</v>
      </c>
      <c r="F184" s="96">
        <v>246554.59562595998</v>
      </c>
      <c r="G184" s="192">
        <v>17290.37970586</v>
      </c>
      <c r="H184" s="192">
        <v>413439.17762738996</v>
      </c>
      <c r="I184" s="192">
        <v>4908.783454</v>
      </c>
      <c r="J184" s="192">
        <v>24662.29238218</v>
      </c>
      <c r="K184" s="192">
        <v>87000</v>
      </c>
      <c r="L184" s="192">
        <v>666668.33330251</v>
      </c>
      <c r="M184" s="192">
        <v>654572.85740669</v>
      </c>
      <c r="N184" s="192">
        <v>1321231.9907092</v>
      </c>
      <c r="O184" s="192">
        <v>1508.8702988</v>
      </c>
      <c r="P184" s="192">
        <v>25600.88430232</v>
      </c>
      <c r="Q184" s="192">
        <v>458094.4950983956</v>
      </c>
      <c r="R184" s="192">
        <v>-180341.3017230603</v>
      </c>
      <c r="S184" s="64" t="s">
        <v>37</v>
      </c>
      <c r="T184" s="112"/>
    </row>
    <row r="185" spans="1:20" ht="12.75" hidden="1">
      <c r="A185" s="64"/>
      <c r="B185" s="123"/>
      <c r="C185" s="96"/>
      <c r="D185" s="96"/>
      <c r="E185" s="123"/>
      <c r="F185" s="96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64"/>
      <c r="T185" s="112"/>
    </row>
    <row r="186" spans="1:20" ht="14.25" customHeight="1" hidden="1">
      <c r="A186" s="71"/>
      <c r="E186" s="123"/>
      <c r="T186" s="112"/>
    </row>
    <row r="187" spans="1:20" ht="14.25" customHeight="1" hidden="1">
      <c r="A187" s="43">
        <v>2009</v>
      </c>
      <c r="E187" s="123"/>
      <c r="S187" s="43">
        <v>2009</v>
      </c>
      <c r="T187" s="112"/>
    </row>
    <row r="188" spans="1:20" ht="12.75" hidden="1">
      <c r="A188" s="64" t="s">
        <v>25</v>
      </c>
      <c r="B188" s="123">
        <f>C188+D188</f>
        <v>831466.68562826</v>
      </c>
      <c r="C188" s="96">
        <v>488041.36912756995</v>
      </c>
      <c r="D188" s="96">
        <v>343425.31650069</v>
      </c>
      <c r="E188" s="123">
        <f>F188+G188+H188+I188+J188</f>
        <v>689454.73772051</v>
      </c>
      <c r="F188" s="96">
        <v>194835.42138155992</v>
      </c>
      <c r="G188" s="192">
        <v>17626.904172219998</v>
      </c>
      <c r="H188" s="192">
        <v>446983.59624747006</v>
      </c>
      <c r="I188" s="192">
        <v>4908.783454</v>
      </c>
      <c r="J188" s="192">
        <v>25100.032465260003</v>
      </c>
      <c r="K188" s="192">
        <v>89500</v>
      </c>
      <c r="L188" s="192">
        <v>675031.16773473</v>
      </c>
      <c r="M188" s="192">
        <v>651151.4455935899</v>
      </c>
      <c r="N188" s="192">
        <v>1326182.61332832</v>
      </c>
      <c r="O188" s="192">
        <v>1308.03459012</v>
      </c>
      <c r="P188" s="192">
        <v>25735.77948624</v>
      </c>
      <c r="Q188" s="192">
        <v>447302.41087107273</v>
      </c>
      <c r="R188" s="192">
        <v>-190107.4149577733</v>
      </c>
      <c r="S188" s="64" t="s">
        <v>25</v>
      </c>
      <c r="T188" s="112"/>
    </row>
    <row r="189" spans="1:20" ht="12.75" hidden="1">
      <c r="A189" s="64" t="s">
        <v>26</v>
      </c>
      <c r="B189" s="123">
        <f>C189+D189</f>
        <v>792727.4241421183</v>
      </c>
      <c r="C189" s="96">
        <v>453876.9512730483</v>
      </c>
      <c r="D189" s="96">
        <v>338850.47286907</v>
      </c>
      <c r="E189" s="123">
        <f>F189+G189+H189+I189+J189</f>
        <v>759304.9662456501</v>
      </c>
      <c r="F189" s="96">
        <v>236077.61712873005</v>
      </c>
      <c r="G189" s="192">
        <v>22721.42701126</v>
      </c>
      <c r="H189" s="192">
        <v>469810.67801736004</v>
      </c>
      <c r="I189" s="192">
        <v>4930.711861599999</v>
      </c>
      <c r="J189" s="192">
        <v>25764.5322267</v>
      </c>
      <c r="K189" s="192">
        <v>93390.75</v>
      </c>
      <c r="L189" s="192">
        <v>695656.1724272501</v>
      </c>
      <c r="M189" s="192">
        <v>677185.8723697499</v>
      </c>
      <c r="N189" s="192">
        <v>1372842.044797</v>
      </c>
      <c r="O189" s="192">
        <v>1390.37336262</v>
      </c>
      <c r="P189" s="192">
        <v>25921.75475539</v>
      </c>
      <c r="Q189" s="192">
        <v>444556.1865697032</v>
      </c>
      <c r="R189" s="192">
        <v>-199287.21956864966</v>
      </c>
      <c r="S189" s="64" t="s">
        <v>26</v>
      </c>
      <c r="T189" s="112"/>
    </row>
    <row r="190" spans="1:20" ht="12.75" hidden="1">
      <c r="A190" s="64" t="s">
        <v>27</v>
      </c>
      <c r="B190" s="123">
        <f>C190+D190</f>
        <v>802344.7597364001</v>
      </c>
      <c r="C190" s="96">
        <v>475125.86509745</v>
      </c>
      <c r="D190" s="96">
        <v>327218.89463895006</v>
      </c>
      <c r="E190" s="123">
        <f>F190+G190+H190+I190+J190</f>
        <v>733470.4399914299</v>
      </c>
      <c r="F190" s="96">
        <v>208995.40355567</v>
      </c>
      <c r="G190" s="192">
        <v>22183.315177829998</v>
      </c>
      <c r="H190" s="192">
        <v>480908.60166082</v>
      </c>
      <c r="I190" s="192">
        <v>4908.783454</v>
      </c>
      <c r="J190" s="192">
        <v>16474.33614311</v>
      </c>
      <c r="K190" s="192">
        <v>95890.7</v>
      </c>
      <c r="L190" s="192">
        <v>682087.49326494</v>
      </c>
      <c r="M190" s="192">
        <v>678615.2088060151</v>
      </c>
      <c r="N190" s="192">
        <v>1360702.7020709552</v>
      </c>
      <c r="O190" s="192">
        <v>1395.4118476200001</v>
      </c>
      <c r="P190" s="192">
        <v>26381.47552254</v>
      </c>
      <c r="Q190" s="192">
        <v>464186.1277196309</v>
      </c>
      <c r="R190" s="192">
        <v>-220959.81707637093</v>
      </c>
      <c r="S190" s="64" t="s">
        <v>27</v>
      </c>
      <c r="T190" s="112"/>
    </row>
    <row r="191" spans="1:20" ht="12.75" hidden="1">
      <c r="A191" s="64" t="s">
        <v>28</v>
      </c>
      <c r="B191" s="123">
        <f>C191+D191</f>
        <v>818514.3679159789</v>
      </c>
      <c r="C191" s="96">
        <v>461978.27667327883</v>
      </c>
      <c r="D191" s="96">
        <v>356536.0912427</v>
      </c>
      <c r="E191" s="123">
        <f>F191+G191+H191+I191+J191</f>
        <v>735296.29996023</v>
      </c>
      <c r="F191" s="96">
        <v>215858.83263538993</v>
      </c>
      <c r="G191" s="192">
        <v>19971.47941018</v>
      </c>
      <c r="H191" s="192">
        <v>476119.82924045995</v>
      </c>
      <c r="I191" s="192">
        <v>4908.783454</v>
      </c>
      <c r="J191" s="192">
        <v>18437.3752202</v>
      </c>
      <c r="K191" s="192">
        <v>101906.7</v>
      </c>
      <c r="L191" s="192">
        <v>684231.03885755</v>
      </c>
      <c r="M191" s="192">
        <v>703547.2042025501</v>
      </c>
      <c r="N191" s="192">
        <v>1387778.2430601001</v>
      </c>
      <c r="O191" s="192">
        <v>564.01654876</v>
      </c>
      <c r="P191" s="192">
        <v>26643.60808518</v>
      </c>
      <c r="Q191" s="192">
        <v>470080.91216462187</v>
      </c>
      <c r="R191" s="192">
        <v>-229349.4118745454</v>
      </c>
      <c r="S191" s="64" t="s">
        <v>28</v>
      </c>
      <c r="T191" s="112"/>
    </row>
    <row r="192" spans="1:20" ht="12.75" hidden="1">
      <c r="A192" s="64" t="s">
        <v>29</v>
      </c>
      <c r="B192" s="123">
        <v>799429.302956875</v>
      </c>
      <c r="C192" s="96">
        <v>648398.984021807</v>
      </c>
      <c r="D192" s="96">
        <v>325071.5211210799</v>
      </c>
      <c r="E192" s="123">
        <f aca="true" t="shared" si="10" ref="E192:E199">SUM(F192:J192)</f>
        <v>726731.90831178</v>
      </c>
      <c r="F192" s="96">
        <f>296200-17022-86674</f>
        <v>192504</v>
      </c>
      <c r="G192" s="192">
        <v>21426.7724224</v>
      </c>
      <c r="H192" s="192">
        <v>484016.01762661</v>
      </c>
      <c r="I192" s="192">
        <v>4908.783454</v>
      </c>
      <c r="J192" s="192">
        <v>23876.334808770003</v>
      </c>
      <c r="K192" s="192">
        <f>17022+86674</f>
        <v>103696</v>
      </c>
      <c r="L192" s="192">
        <v>684265.69757203</v>
      </c>
      <c r="M192" s="192">
        <v>673087.73022058</v>
      </c>
      <c r="N192" s="192">
        <v>1357353.4277926101</v>
      </c>
      <c r="O192" s="192">
        <v>990.1637112600001</v>
      </c>
      <c r="P192" s="192">
        <v>27022.62736675</v>
      </c>
      <c r="Q192" s="192">
        <v>506246.3380150515</v>
      </c>
      <c r="R192" s="192">
        <v>-261755.62610856054</v>
      </c>
      <c r="S192" s="64" t="s">
        <v>29</v>
      </c>
      <c r="T192" s="112"/>
    </row>
    <row r="193" spans="1:20" ht="12.75" hidden="1">
      <c r="A193" s="64" t="s">
        <v>30</v>
      </c>
      <c r="B193" s="123">
        <v>806587.4761771299</v>
      </c>
      <c r="C193" s="96">
        <v>682867.97809553</v>
      </c>
      <c r="D193" s="96">
        <v>367271.38758814</v>
      </c>
      <c r="E193" s="123">
        <f t="shared" si="10"/>
        <v>740556.33296362</v>
      </c>
      <c r="F193" s="96">
        <f>299923-8572-94359</f>
        <v>196992</v>
      </c>
      <c r="G193" s="192">
        <v>23806.581592119997</v>
      </c>
      <c r="H193" s="192">
        <v>496651.67730388005</v>
      </c>
      <c r="I193" s="192">
        <v>4908.783454</v>
      </c>
      <c r="J193" s="192">
        <v>18197.29061362</v>
      </c>
      <c r="K193" s="192">
        <f>8572+94359</f>
        <v>102931</v>
      </c>
      <c r="L193" s="192">
        <v>662085.1068342101</v>
      </c>
      <c r="M193" s="192">
        <v>697758.83073261</v>
      </c>
      <c r="N193" s="192">
        <v>1359843.93756682</v>
      </c>
      <c r="O193" s="192">
        <v>639.08223626</v>
      </c>
      <c r="P193" s="192">
        <v>27669.16492011</v>
      </c>
      <c r="Q193" s="192">
        <v>530504.8312031524</v>
      </c>
      <c r="R193" s="192">
        <v>-248970.47788358614</v>
      </c>
      <c r="S193" s="64" t="s">
        <v>30</v>
      </c>
      <c r="T193" s="112"/>
    </row>
    <row r="194" spans="1:20" s="126" customFormat="1" ht="12.75" hidden="1">
      <c r="A194" s="89" t="s">
        <v>31</v>
      </c>
      <c r="B194" s="96">
        <f aca="true" t="shared" si="11" ref="B194:B199">C194+D194</f>
        <v>850546</v>
      </c>
      <c r="C194" s="96">
        <f>720524-246919</f>
        <v>473605</v>
      </c>
      <c r="D194" s="96">
        <v>376941</v>
      </c>
      <c r="E194" s="96">
        <f t="shared" si="10"/>
        <v>757929</v>
      </c>
      <c r="F194" s="96">
        <f>299923-8572-101859</f>
        <v>189492</v>
      </c>
      <c r="G194" s="192">
        <v>24178</v>
      </c>
      <c r="H194" s="192">
        <v>509876</v>
      </c>
      <c r="I194" s="192">
        <v>4909</v>
      </c>
      <c r="J194" s="192">
        <v>29474</v>
      </c>
      <c r="K194" s="192">
        <f>8572+101859</f>
        <v>110431</v>
      </c>
      <c r="L194" s="192">
        <v>700461</v>
      </c>
      <c r="M194" s="192">
        <v>717854</v>
      </c>
      <c r="N194" s="192">
        <v>1418316</v>
      </c>
      <c r="O194" s="192">
        <v>622</v>
      </c>
      <c r="P194" s="192">
        <v>28149</v>
      </c>
      <c r="Q194" s="192">
        <v>557987</v>
      </c>
      <c r="R194" s="192">
        <v>-286168</v>
      </c>
      <c r="S194" s="89" t="s">
        <v>31</v>
      </c>
      <c r="T194" s="125"/>
    </row>
    <row r="195" spans="1:20" s="126" customFormat="1" ht="12.75" hidden="1">
      <c r="A195" s="89" t="s">
        <v>32</v>
      </c>
      <c r="B195" s="96">
        <f t="shared" si="11"/>
        <v>1365127</v>
      </c>
      <c r="C195" s="96">
        <f>1237607-277719</f>
        <v>959888</v>
      </c>
      <c r="D195" s="96">
        <f>411260-6021</f>
        <v>405239</v>
      </c>
      <c r="E195" s="96">
        <f t="shared" si="10"/>
        <v>743025</v>
      </c>
      <c r="F195" s="96">
        <f>276556-110435</f>
        <v>166121</v>
      </c>
      <c r="G195" s="192">
        <v>23635</v>
      </c>
      <c r="H195" s="192">
        <v>531432</v>
      </c>
      <c r="I195" s="192">
        <v>5011</v>
      </c>
      <c r="J195" s="192">
        <v>16826</v>
      </c>
      <c r="K195" s="192">
        <v>110435</v>
      </c>
      <c r="L195" s="192">
        <v>697782</v>
      </c>
      <c r="M195" s="192">
        <v>754851</v>
      </c>
      <c r="N195" s="192">
        <v>1452633</v>
      </c>
      <c r="O195" s="192">
        <v>847</v>
      </c>
      <c r="P195" s="192">
        <v>29898</v>
      </c>
      <c r="Q195" s="192">
        <v>1066399</v>
      </c>
      <c r="R195" s="192">
        <v>-331191</v>
      </c>
      <c r="S195" s="89" t="s">
        <v>32</v>
      </c>
      <c r="T195" s="125"/>
    </row>
    <row r="196" spans="1:20" s="126" customFormat="1" ht="12.75" hidden="1">
      <c r="A196" s="89" t="s">
        <v>33</v>
      </c>
      <c r="B196" s="96">
        <f t="shared" si="11"/>
        <v>1308660</v>
      </c>
      <c r="C196" s="96">
        <f>1183141-289046</f>
        <v>894095</v>
      </c>
      <c r="D196" s="96">
        <f>419997-5432</f>
        <v>414565</v>
      </c>
      <c r="E196" s="96">
        <f t="shared" si="10"/>
        <v>844322</v>
      </c>
      <c r="F196" s="96">
        <f>352117-114000</f>
        <v>238117</v>
      </c>
      <c r="G196" s="192">
        <v>26726</v>
      </c>
      <c r="H196" s="192">
        <v>556231</v>
      </c>
      <c r="I196" s="192">
        <v>5010</v>
      </c>
      <c r="J196" s="192">
        <v>18238</v>
      </c>
      <c r="K196" s="192">
        <v>114000</v>
      </c>
      <c r="L196" s="192">
        <v>722149.8439260412</v>
      </c>
      <c r="M196" s="192">
        <v>776333.6395225942</v>
      </c>
      <c r="N196" s="192">
        <v>1498483.4834486353</v>
      </c>
      <c r="O196" s="192">
        <v>543.79534596</v>
      </c>
      <c r="P196" s="192">
        <v>30374.1373417</v>
      </c>
      <c r="Q196" s="192">
        <v>1112021.7486414495</v>
      </c>
      <c r="R196" s="192">
        <v>-387353.0366074682</v>
      </c>
      <c r="S196" s="89" t="s">
        <v>33</v>
      </c>
      <c r="T196" s="125"/>
    </row>
    <row r="197" spans="1:20" s="126" customFormat="1" ht="12.75" hidden="1">
      <c r="A197" s="89" t="s">
        <v>35</v>
      </c>
      <c r="B197" s="96">
        <f t="shared" si="11"/>
        <v>1435344.7388424233</v>
      </c>
      <c r="C197" s="96">
        <f>'[2]MS'!$DA$8+'[2]MS'!$DA$10</f>
        <v>954209.0002240554</v>
      </c>
      <c r="D197" s="96">
        <f>'[2]MS'!$DA$9+'[2]MS'!$DA$11</f>
        <v>481135.738618368</v>
      </c>
      <c r="E197" s="96">
        <f t="shared" si="10"/>
        <v>882325.3664729901</v>
      </c>
      <c r="F197" s="96">
        <v>264453.1732299501</v>
      </c>
      <c r="G197" s="192">
        <v>29042.36090472</v>
      </c>
      <c r="H197" s="192">
        <v>564094.7531743101</v>
      </c>
      <c r="I197" s="192">
        <v>5009.983453999999</v>
      </c>
      <c r="J197" s="192">
        <v>19725.095710010002</v>
      </c>
      <c r="K197" s="192">
        <v>113500</v>
      </c>
      <c r="L197" s="192">
        <v>760777.29379118</v>
      </c>
      <c r="M197" s="192">
        <v>840963.7470393637</v>
      </c>
      <c r="N197" s="192">
        <v>1601741.0408305437</v>
      </c>
      <c r="O197" s="192">
        <v>200.20566712000002</v>
      </c>
      <c r="P197" s="192">
        <v>31736.13269522</v>
      </c>
      <c r="Q197" s="192">
        <v>1237865.976941792</v>
      </c>
      <c r="R197" s="192">
        <v>-440373.43829332787</v>
      </c>
      <c r="S197" s="89" t="s">
        <v>35</v>
      </c>
      <c r="T197" s="125"/>
    </row>
    <row r="198" spans="1:20" s="126" customFormat="1" ht="12.75" hidden="1">
      <c r="A198" s="89" t="s">
        <v>36</v>
      </c>
      <c r="B198" s="96">
        <f t="shared" si="11"/>
        <v>1495632.1708298954</v>
      </c>
      <c r="C198" s="96">
        <f>'[2]MS'!$DB$8+'[2]MS'!$DB$10</f>
        <v>957687.0678577456</v>
      </c>
      <c r="D198" s="96">
        <f>'[2]MS'!$DB$9+'[2]MS'!$DB$11</f>
        <v>537945.1029721498</v>
      </c>
      <c r="E198" s="96">
        <f t="shared" si="10"/>
        <v>927505.3287986199</v>
      </c>
      <c r="F198" s="96">
        <v>280377</v>
      </c>
      <c r="G198" s="192">
        <v>31904.70244314</v>
      </c>
      <c r="H198" s="192">
        <v>592237.11199961</v>
      </c>
      <c r="I198" s="192">
        <v>5009.983453999999</v>
      </c>
      <c r="J198" s="192">
        <v>17976.530901870003</v>
      </c>
      <c r="K198" s="192">
        <v>119300</v>
      </c>
      <c r="L198" s="192">
        <v>757845.50352654</v>
      </c>
      <c r="M198" s="192">
        <v>884692.7151187788</v>
      </c>
      <c r="N198" s="192">
        <v>1642538.2186453189</v>
      </c>
      <c r="O198" s="192">
        <v>380.77882576</v>
      </c>
      <c r="P198" s="192">
        <v>32888.75860545</v>
      </c>
      <c r="Q198" s="192">
        <v>1319674.95647901</v>
      </c>
      <c r="R198" s="192">
        <v>-453044.57414240873</v>
      </c>
      <c r="S198" s="89" t="s">
        <v>36</v>
      </c>
      <c r="T198" s="125"/>
    </row>
    <row r="199" spans="1:20" s="126" customFormat="1" ht="12.75" hidden="1">
      <c r="A199" s="89" t="s">
        <v>37</v>
      </c>
      <c r="B199" s="96">
        <f t="shared" si="11"/>
        <v>1541758.5564515064</v>
      </c>
      <c r="C199" s="96">
        <f>'[2]MS'!$DC$8+'[2]MS'!$DC$10</f>
        <v>1005284.3749860185</v>
      </c>
      <c r="D199" s="96">
        <f>'[2]MS'!$DC$9+'[2]MS'!$DC$11</f>
        <v>536474.181465488</v>
      </c>
      <c r="E199" s="96">
        <f t="shared" si="10"/>
        <v>881318.3077399322</v>
      </c>
      <c r="F199" s="96">
        <v>213264</v>
      </c>
      <c r="G199" s="192">
        <v>31308.34778195</v>
      </c>
      <c r="H199" s="192">
        <v>600982.1925145722</v>
      </c>
      <c r="I199" s="192">
        <v>5034.07121648</v>
      </c>
      <c r="J199" s="192">
        <v>30729.696226930002</v>
      </c>
      <c r="K199" s="192">
        <v>120133.2</v>
      </c>
      <c r="L199" s="192">
        <v>808358.2352878101</v>
      </c>
      <c r="M199" s="192">
        <v>888729.5670159027</v>
      </c>
      <c r="N199" s="192">
        <v>1697087.8023037128</v>
      </c>
      <c r="O199" s="192">
        <v>1157.84212576</v>
      </c>
      <c r="P199" s="192">
        <v>32446.20478622</v>
      </c>
      <c r="Q199" s="192">
        <v>1279871.176644293</v>
      </c>
      <c r="R199" s="192">
        <v>-455242.8934501315</v>
      </c>
      <c r="S199" s="89" t="s">
        <v>37</v>
      </c>
      <c r="T199" s="125"/>
    </row>
    <row r="200" spans="1:20" s="126" customFormat="1" ht="12.75" hidden="1">
      <c r="A200" s="145">
        <v>2010</v>
      </c>
      <c r="B200" s="96"/>
      <c r="C200" s="96"/>
      <c r="D200" s="96"/>
      <c r="E200" s="96"/>
      <c r="F200" s="96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45">
        <v>2010</v>
      </c>
      <c r="T200" s="125"/>
    </row>
    <row r="201" spans="1:20" s="126" customFormat="1" ht="12.75" hidden="1">
      <c r="A201" s="89" t="s">
        <v>25</v>
      </c>
      <c r="B201" s="96">
        <f aca="true" t="shared" si="12" ref="B201:B212">C201+D201</f>
        <v>1499839</v>
      </c>
      <c r="C201" s="96">
        <f>1353582-379795</f>
        <v>973787</v>
      </c>
      <c r="D201" s="96">
        <f>541511-15459</f>
        <v>526052</v>
      </c>
      <c r="E201" s="96">
        <f aca="true" t="shared" si="13" ref="E201:E212">SUM(F201:J201)</f>
        <v>880695</v>
      </c>
      <c r="F201" s="96">
        <v>203325</v>
      </c>
      <c r="G201" s="192">
        <v>32014</v>
      </c>
      <c r="H201" s="192">
        <v>621114</v>
      </c>
      <c r="I201" s="192">
        <v>5010</v>
      </c>
      <c r="J201" s="192">
        <v>19232</v>
      </c>
      <c r="K201" s="192">
        <f>22275+98359</f>
        <v>120634</v>
      </c>
      <c r="L201" s="192">
        <v>785879</v>
      </c>
      <c r="M201" s="192">
        <v>876911</v>
      </c>
      <c r="N201" s="192">
        <v>1662790</v>
      </c>
      <c r="O201" s="192">
        <v>998</v>
      </c>
      <c r="P201" s="192">
        <v>32878</v>
      </c>
      <c r="Q201" s="192">
        <v>1313415</v>
      </c>
      <c r="R201" s="192">
        <v>-508914</v>
      </c>
      <c r="S201" s="89" t="s">
        <v>25</v>
      </c>
      <c r="T201" s="125"/>
    </row>
    <row r="202" spans="1:20" s="126" customFormat="1" ht="12.75" hidden="1">
      <c r="A202" s="89" t="s">
        <v>26</v>
      </c>
      <c r="B202" s="96">
        <f t="shared" si="12"/>
        <v>1493825</v>
      </c>
      <c r="C202" s="96">
        <f>1338841-371175</f>
        <v>967666</v>
      </c>
      <c r="D202" s="96">
        <f>531735-5576</f>
        <v>526159</v>
      </c>
      <c r="E202" s="96">
        <f t="shared" si="13"/>
        <v>859100.3</v>
      </c>
      <c r="F202" s="96">
        <v>164184.3</v>
      </c>
      <c r="G202" s="192">
        <v>36046</v>
      </c>
      <c r="H202" s="192">
        <v>627249</v>
      </c>
      <c r="I202" s="192">
        <v>5011</v>
      </c>
      <c r="J202" s="192">
        <v>26610</v>
      </c>
      <c r="K202" s="192">
        <f>22275+108559</f>
        <v>130834</v>
      </c>
      <c r="L202" s="192">
        <v>788496</v>
      </c>
      <c r="M202" s="192">
        <v>866650</v>
      </c>
      <c r="N202" s="192">
        <v>1655146</v>
      </c>
      <c r="O202" s="192">
        <v>1360</v>
      </c>
      <c r="P202" s="192">
        <v>32421</v>
      </c>
      <c r="Q202" s="192">
        <v>1268893</v>
      </c>
      <c r="R202" s="192">
        <v>-474062</v>
      </c>
      <c r="S202" s="89" t="s">
        <v>26</v>
      </c>
      <c r="T202" s="125"/>
    </row>
    <row r="203" spans="1:20" s="126" customFormat="1" ht="12.75" hidden="1">
      <c r="A203" s="89" t="s">
        <v>27</v>
      </c>
      <c r="B203" s="96">
        <f t="shared" si="12"/>
        <v>1446593</v>
      </c>
      <c r="C203" s="96">
        <f>1275519-370385</f>
        <v>905134</v>
      </c>
      <c r="D203" s="96">
        <f>548872-7413</f>
        <v>541459</v>
      </c>
      <c r="E203" s="96">
        <f t="shared" si="13"/>
        <v>866868.9836261</v>
      </c>
      <c r="F203" s="96">
        <v>155048.98362610003</v>
      </c>
      <c r="G203" s="192">
        <v>34818</v>
      </c>
      <c r="H203" s="192">
        <v>642550</v>
      </c>
      <c r="I203" s="192">
        <v>5060</v>
      </c>
      <c r="J203" s="192">
        <v>29392</v>
      </c>
      <c r="K203" s="192">
        <f>16806+113885</f>
        <v>130691</v>
      </c>
      <c r="L203" s="192">
        <v>799894</v>
      </c>
      <c r="M203" s="192">
        <v>865230</v>
      </c>
      <c r="N203" s="192">
        <v>1665124</v>
      </c>
      <c r="O203" s="192">
        <v>484</v>
      </c>
      <c r="P203" s="192">
        <v>32610</v>
      </c>
      <c r="Q203" s="192">
        <v>1267265</v>
      </c>
      <c r="R203" s="192">
        <v>-521329</v>
      </c>
      <c r="S203" s="89" t="s">
        <v>27</v>
      </c>
      <c r="T203" s="125"/>
    </row>
    <row r="204" spans="1:20" s="126" customFormat="1" ht="12.75" hidden="1">
      <c r="A204" s="89" t="s">
        <v>28</v>
      </c>
      <c r="B204" s="96">
        <f t="shared" si="12"/>
        <v>1378104</v>
      </c>
      <c r="C204" s="96">
        <f>1235243-369849</f>
        <v>865394</v>
      </c>
      <c r="D204" s="96">
        <f>523789-11079</f>
        <v>512710</v>
      </c>
      <c r="E204" s="96">
        <f t="shared" si="13"/>
        <v>999988.3122109899</v>
      </c>
      <c r="F204" s="96">
        <f>'8a- Assets'!F186-'8b- LIAB'!K194+'9a-Assets'!O170</f>
        <v>263792.31221098994</v>
      </c>
      <c r="G204" s="192">
        <v>36483</v>
      </c>
      <c r="H204" s="192">
        <v>662989</v>
      </c>
      <c r="I204" s="192">
        <v>5010</v>
      </c>
      <c r="J204" s="192">
        <v>31714</v>
      </c>
      <c r="K204" s="192">
        <v>127690.6</v>
      </c>
      <c r="L204" s="192">
        <v>819216</v>
      </c>
      <c r="M204" s="192">
        <v>907414</v>
      </c>
      <c r="N204" s="192">
        <v>1726630</v>
      </c>
      <c r="O204" s="192">
        <v>770</v>
      </c>
      <c r="P204" s="192">
        <v>32892</v>
      </c>
      <c r="Q204" s="192">
        <v>1269254</v>
      </c>
      <c r="R204" s="192">
        <v>-523764</v>
      </c>
      <c r="S204" s="89" t="s">
        <v>28</v>
      </c>
      <c r="T204" s="125"/>
    </row>
    <row r="205" spans="1:20" s="126" customFormat="1" ht="12.75" hidden="1">
      <c r="A205" s="89" t="s">
        <v>29</v>
      </c>
      <c r="B205" s="96">
        <f t="shared" si="12"/>
        <v>1321882</v>
      </c>
      <c r="C205" s="96">
        <f>1184929-363013</f>
        <v>821916</v>
      </c>
      <c r="D205" s="96">
        <f>511057-11091</f>
        <v>499966</v>
      </c>
      <c r="E205" s="96">
        <f t="shared" si="13"/>
        <v>1027455.44125631</v>
      </c>
      <c r="F205" s="96">
        <f>'8a- Assets'!F187-'8b- LIAB'!K195+'9a-Assets'!O171</f>
        <v>280003.44125631</v>
      </c>
      <c r="G205" s="192">
        <v>39496</v>
      </c>
      <c r="H205" s="192">
        <v>671764</v>
      </c>
      <c r="I205" s="192">
        <v>5028</v>
      </c>
      <c r="J205" s="192">
        <v>31164</v>
      </c>
      <c r="K205" s="192">
        <v>125484.4</v>
      </c>
      <c r="L205" s="192">
        <v>837029</v>
      </c>
      <c r="M205" s="192">
        <v>913105</v>
      </c>
      <c r="N205" s="192">
        <v>1750134</v>
      </c>
      <c r="O205" s="192">
        <v>744</v>
      </c>
      <c r="P205" s="192">
        <v>33085</v>
      </c>
      <c r="Q205" s="192">
        <v>1098627</v>
      </c>
      <c r="R205" s="192">
        <v>-405564</v>
      </c>
      <c r="S205" s="89" t="s">
        <v>29</v>
      </c>
      <c r="T205" s="125"/>
    </row>
    <row r="206" spans="1:20" s="126" customFormat="1" ht="12.75" hidden="1">
      <c r="A206" s="89" t="s">
        <v>30</v>
      </c>
      <c r="B206" s="96">
        <f t="shared" si="12"/>
        <v>1344870</v>
      </c>
      <c r="C206" s="96">
        <f>1234874-401355</f>
        <v>833519</v>
      </c>
      <c r="D206" s="96">
        <f>522442-11091</f>
        <v>511351</v>
      </c>
      <c r="E206" s="96">
        <f t="shared" si="13"/>
        <v>1050761.62488164</v>
      </c>
      <c r="F206" s="96">
        <f>'8a- Assets'!F188-'8b- LIAB'!K196+'9a-Assets'!O172</f>
        <v>276169.62488163996</v>
      </c>
      <c r="G206" s="192">
        <v>40524</v>
      </c>
      <c r="H206" s="192">
        <v>692542</v>
      </c>
      <c r="I206" s="192">
        <v>5010</v>
      </c>
      <c r="J206" s="192">
        <v>36516</v>
      </c>
      <c r="K206" s="192">
        <f>'8a- Assets'!I188+'9a-Assets'!N172</f>
        <v>110182.09999999999</v>
      </c>
      <c r="L206" s="192">
        <v>821609</v>
      </c>
      <c r="M206" s="192">
        <v>947678</v>
      </c>
      <c r="N206" s="192">
        <v>1769286</v>
      </c>
      <c r="O206" s="192">
        <v>461</v>
      </c>
      <c r="P206" s="192">
        <v>32868</v>
      </c>
      <c r="Q206" s="192">
        <v>1082879</v>
      </c>
      <c r="R206" s="192">
        <v>-379679</v>
      </c>
      <c r="S206" s="89" t="s">
        <v>30</v>
      </c>
      <c r="T206" s="125"/>
    </row>
    <row r="207" spans="1:20" s="126" customFormat="1" ht="12.75" hidden="1">
      <c r="A207" s="89" t="s">
        <v>31</v>
      </c>
      <c r="B207" s="96">
        <f t="shared" si="12"/>
        <v>1313954</v>
      </c>
      <c r="C207" s="96">
        <f>1257293-439227</f>
        <v>818066</v>
      </c>
      <c r="D207" s="96">
        <f>505013-9125</f>
        <v>495888</v>
      </c>
      <c r="E207" s="96">
        <f t="shared" si="13"/>
        <v>1164706.66252535</v>
      </c>
      <c r="F207" s="96">
        <v>383017.66252534994</v>
      </c>
      <c r="G207" s="192">
        <v>45674</v>
      </c>
      <c r="H207" s="192">
        <v>692269</v>
      </c>
      <c r="I207" s="192">
        <v>5010</v>
      </c>
      <c r="J207" s="192">
        <v>38736</v>
      </c>
      <c r="K207" s="192">
        <v>137180.7</v>
      </c>
      <c r="L207" s="192">
        <v>898841</v>
      </c>
      <c r="M207" s="192">
        <v>948887</v>
      </c>
      <c r="N207" s="192">
        <v>1847728</v>
      </c>
      <c r="O207" s="192">
        <v>279</v>
      </c>
      <c r="P207" s="192">
        <v>32957</v>
      </c>
      <c r="Q207" s="192">
        <v>1124060</v>
      </c>
      <c r="R207" s="192">
        <v>-389182</v>
      </c>
      <c r="S207" s="89" t="s">
        <v>31</v>
      </c>
      <c r="T207" s="125"/>
    </row>
    <row r="208" spans="1:20" s="126" customFormat="1" ht="12.75" hidden="1">
      <c r="A208" s="89" t="s">
        <v>32</v>
      </c>
      <c r="B208" s="96">
        <f t="shared" si="12"/>
        <v>1369120</v>
      </c>
      <c r="C208" s="96">
        <f>1298916-442458</f>
        <v>856458</v>
      </c>
      <c r="D208" s="96">
        <f>521787-9125</f>
        <v>512662</v>
      </c>
      <c r="E208" s="96">
        <f t="shared" si="13"/>
        <v>1258049.01537481</v>
      </c>
      <c r="F208" s="96">
        <v>453538.01537481</v>
      </c>
      <c r="G208" s="192">
        <v>45558</v>
      </c>
      <c r="H208" s="192">
        <v>717089</v>
      </c>
      <c r="I208" s="192">
        <v>5010</v>
      </c>
      <c r="J208" s="192">
        <v>36854</v>
      </c>
      <c r="K208" s="192">
        <v>164693.44999999998</v>
      </c>
      <c r="L208" s="192">
        <v>916463</v>
      </c>
      <c r="M208" s="192">
        <v>1035246</v>
      </c>
      <c r="N208" s="192">
        <v>1951710</v>
      </c>
      <c r="O208" s="192">
        <v>167</v>
      </c>
      <c r="P208" s="192">
        <v>33418</v>
      </c>
      <c r="Q208" s="192">
        <v>1145234</v>
      </c>
      <c r="R208" s="192">
        <v>-338667</v>
      </c>
      <c r="S208" s="89" t="s">
        <v>32</v>
      </c>
      <c r="T208" s="125"/>
    </row>
    <row r="209" spans="1:20" s="126" customFormat="1" ht="12.75" hidden="1">
      <c r="A209" s="89" t="s">
        <v>33</v>
      </c>
      <c r="B209" s="96">
        <f t="shared" si="12"/>
        <v>1371140</v>
      </c>
      <c r="C209" s="96">
        <f>1316734-462636</f>
        <v>854098</v>
      </c>
      <c r="D209" s="96">
        <f>533767-16725</f>
        <v>517042</v>
      </c>
      <c r="E209" s="96">
        <f t="shared" si="13"/>
        <v>1319725.24222299</v>
      </c>
      <c r="F209" s="96">
        <v>502097.24222298997</v>
      </c>
      <c r="G209" s="192">
        <v>41853</v>
      </c>
      <c r="H209" s="192">
        <v>744461</v>
      </c>
      <c r="I209" s="192">
        <v>5010</v>
      </c>
      <c r="J209" s="192">
        <v>26304</v>
      </c>
      <c r="K209" s="192">
        <f>17868+113893</f>
        <v>131761</v>
      </c>
      <c r="L209" s="192">
        <v>912854</v>
      </c>
      <c r="M209" s="192">
        <v>1028454</v>
      </c>
      <c r="N209" s="192">
        <v>1941308</v>
      </c>
      <c r="O209" s="192">
        <v>181</v>
      </c>
      <c r="P209" s="192">
        <v>34343</v>
      </c>
      <c r="Q209" s="192">
        <v>1225024</v>
      </c>
      <c r="R209" s="192">
        <v>-378230</v>
      </c>
      <c r="S209" s="89" t="s">
        <v>33</v>
      </c>
      <c r="T209" s="125"/>
    </row>
    <row r="210" spans="1:20" s="126" customFormat="1" ht="12.75" hidden="1">
      <c r="A210" s="89" t="s">
        <v>35</v>
      </c>
      <c r="B210" s="96">
        <f t="shared" si="12"/>
        <v>1403832</v>
      </c>
      <c r="C210" s="96">
        <f>1324773-462814</f>
        <v>861959</v>
      </c>
      <c r="D210" s="96">
        <f>558598-16725</f>
        <v>541873</v>
      </c>
      <c r="E210" s="96">
        <f t="shared" si="13"/>
        <v>1047572.7448723699</v>
      </c>
      <c r="F210" s="96">
        <v>190558.74487236992</v>
      </c>
      <c r="G210" s="192">
        <v>44666</v>
      </c>
      <c r="H210" s="192">
        <v>781508</v>
      </c>
      <c r="I210" s="192">
        <v>5010</v>
      </c>
      <c r="J210" s="192">
        <v>25830</v>
      </c>
      <c r="K210" s="192">
        <v>145622</v>
      </c>
      <c r="L210" s="192">
        <v>917382</v>
      </c>
      <c r="M210" s="192">
        <v>1087331</v>
      </c>
      <c r="N210" s="192">
        <v>2004713</v>
      </c>
      <c r="O210" s="192">
        <v>734</v>
      </c>
      <c r="P210" s="192">
        <v>34624</v>
      </c>
      <c r="Q210" s="192">
        <v>1251114</v>
      </c>
      <c r="R210" s="192">
        <v>-373800</v>
      </c>
      <c r="S210" s="89" t="s">
        <v>35</v>
      </c>
      <c r="T210" s="125"/>
    </row>
    <row r="211" spans="1:20" s="126" customFormat="1" ht="12.75" hidden="1">
      <c r="A211" s="89" t="s">
        <v>36</v>
      </c>
      <c r="B211" s="96">
        <f t="shared" si="12"/>
        <v>1426439</v>
      </c>
      <c r="C211" s="96">
        <f>1333743-469031</f>
        <v>864712</v>
      </c>
      <c r="D211" s="96">
        <f>581872-20145</f>
        <v>561727</v>
      </c>
      <c r="E211" s="96">
        <f t="shared" si="13"/>
        <v>1002346.3852826201</v>
      </c>
      <c r="F211" s="96">
        <v>143040.38528262003</v>
      </c>
      <c r="G211" s="192">
        <v>45265</v>
      </c>
      <c r="H211" s="192">
        <v>781722</v>
      </c>
      <c r="I211" s="192">
        <v>4962</v>
      </c>
      <c r="J211" s="192">
        <v>27357</v>
      </c>
      <c r="K211" s="192">
        <v>160883</v>
      </c>
      <c r="L211" s="192">
        <v>966674</v>
      </c>
      <c r="M211" s="192">
        <v>1087270</v>
      </c>
      <c r="N211" s="192">
        <v>2053944</v>
      </c>
      <c r="O211" s="192">
        <v>1017</v>
      </c>
      <c r="P211" s="192">
        <v>35272</v>
      </c>
      <c r="Q211" s="192">
        <v>1270606</v>
      </c>
      <c r="R211" s="192">
        <v>-413075</v>
      </c>
      <c r="S211" s="89" t="s">
        <v>36</v>
      </c>
      <c r="T211" s="125"/>
    </row>
    <row r="212" spans="1:20" s="126" customFormat="1" ht="12.75" hidden="1">
      <c r="A212" s="89" t="s">
        <v>37</v>
      </c>
      <c r="B212" s="96">
        <f t="shared" si="12"/>
        <v>1644504</v>
      </c>
      <c r="C212" s="96">
        <f>1458987-499964</f>
        <v>959023</v>
      </c>
      <c r="D212" s="96">
        <f>703456-17975</f>
        <v>685481</v>
      </c>
      <c r="E212" s="96">
        <f t="shared" si="13"/>
        <v>1198150.0370029001</v>
      </c>
      <c r="F212" s="96">
        <v>326521.0370029001</v>
      </c>
      <c r="G212" s="192">
        <v>54025</v>
      </c>
      <c r="H212" s="192">
        <v>790395</v>
      </c>
      <c r="I212" s="192">
        <v>4963</v>
      </c>
      <c r="J212" s="192">
        <v>22246</v>
      </c>
      <c r="K212" s="192">
        <v>159286</v>
      </c>
      <c r="L212" s="192">
        <v>1048055</v>
      </c>
      <c r="M212" s="192">
        <v>1188478</v>
      </c>
      <c r="N212" s="192">
        <v>2236534</v>
      </c>
      <c r="O212" s="192">
        <v>881</v>
      </c>
      <c r="P212" s="192">
        <v>35327</v>
      </c>
      <c r="Q212" s="192">
        <v>1315932</v>
      </c>
      <c r="R212" s="192">
        <v>-442847</v>
      </c>
      <c r="S212" s="89" t="s">
        <v>37</v>
      </c>
      <c r="T212" s="125"/>
    </row>
    <row r="213" spans="1:20" s="126" customFormat="1" ht="12.75">
      <c r="A213" s="145"/>
      <c r="B213" s="96"/>
      <c r="C213" s="96"/>
      <c r="D213" s="96"/>
      <c r="E213" s="96"/>
      <c r="F213" s="96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45"/>
      <c r="T213" s="125"/>
    </row>
    <row r="214" spans="1:20" s="126" customFormat="1" ht="12.75">
      <c r="A214" s="145"/>
      <c r="B214" s="96"/>
      <c r="C214" s="96"/>
      <c r="D214" s="96"/>
      <c r="E214" s="96"/>
      <c r="F214" s="96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45"/>
      <c r="T214" s="125"/>
    </row>
    <row r="215" spans="1:20" s="126" customFormat="1" ht="12.75">
      <c r="A215" s="145">
        <v>2011</v>
      </c>
      <c r="B215" s="96"/>
      <c r="C215" s="96"/>
      <c r="D215" s="96"/>
      <c r="E215" s="96"/>
      <c r="F215" s="96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45">
        <v>2011</v>
      </c>
      <c r="T215" s="125"/>
    </row>
    <row r="216" spans="1:20" s="126" customFormat="1" ht="12.75">
      <c r="A216" s="89" t="s">
        <v>25</v>
      </c>
      <c r="B216" s="96">
        <f aca="true" t="shared" si="14" ref="B216:B221">C216+D216</f>
        <v>1601883</v>
      </c>
      <c r="C216" s="96">
        <f>1463727-507664</f>
        <v>956063</v>
      </c>
      <c r="D216" s="96">
        <f>663795-17975</f>
        <v>645820</v>
      </c>
      <c r="E216" s="96">
        <f aca="true" t="shared" si="15" ref="E216:E235">SUM(F216:J216)</f>
        <v>1324533.151772234</v>
      </c>
      <c r="F216" s="96">
        <f>'8a- Assets'!F198-'8b- LIAB'!K205+'9a-Assets'!O181</f>
        <v>430851.77708862396</v>
      </c>
      <c r="G216" s="192">
        <v>48022.198349590006</v>
      </c>
      <c r="H216" s="192">
        <v>811961</v>
      </c>
      <c r="I216" s="192">
        <v>4962.083454</v>
      </c>
      <c r="J216" s="192">
        <v>28736.09288002</v>
      </c>
      <c r="K216" s="192">
        <v>145492.40000000002</v>
      </c>
      <c r="L216" s="192">
        <v>1022007.7322681502</v>
      </c>
      <c r="M216" s="192">
        <v>1181105.5458635748</v>
      </c>
      <c r="N216" s="192">
        <f>L216+M216</f>
        <v>2203113.2781317253</v>
      </c>
      <c r="O216" s="192">
        <v>843.52992316</v>
      </c>
      <c r="P216" s="192">
        <v>35861.754209059996</v>
      </c>
      <c r="Q216" s="192">
        <v>1391595</v>
      </c>
      <c r="R216" s="192">
        <v>-559505</v>
      </c>
      <c r="S216" s="89" t="s">
        <v>37</v>
      </c>
      <c r="T216" s="125"/>
    </row>
    <row r="217" spans="1:19" s="126" customFormat="1" ht="12.75">
      <c r="A217" s="89" t="s">
        <v>26</v>
      </c>
      <c r="B217" s="96">
        <f t="shared" si="14"/>
        <v>1714117</v>
      </c>
      <c r="C217" s="96">
        <f>1500522-512260</f>
        <v>988262</v>
      </c>
      <c r="D217" s="96">
        <f>742368-16513</f>
        <v>725855</v>
      </c>
      <c r="E217" s="96">
        <f t="shared" si="15"/>
        <v>1347912.15422411</v>
      </c>
      <c r="F217" s="96">
        <f>'8a- Assets'!F199-'8b- LIAB'!K206+'9a-Assets'!O182</f>
        <v>439326.63993884006</v>
      </c>
      <c r="G217" s="192">
        <v>46074.37905201001</v>
      </c>
      <c r="H217" s="192">
        <v>834936</v>
      </c>
      <c r="I217" s="192">
        <v>4962.083454</v>
      </c>
      <c r="J217" s="192">
        <v>22613.051779259997</v>
      </c>
      <c r="K217" s="192">
        <v>139738.35</v>
      </c>
      <c r="L217" s="192">
        <v>1041123.96010721</v>
      </c>
      <c r="M217" s="192">
        <v>1220241.3156635186</v>
      </c>
      <c r="N217" s="192">
        <f>L217+M217</f>
        <v>2261365.2757707285</v>
      </c>
      <c r="O217" s="192">
        <v>779.4050739099999</v>
      </c>
      <c r="P217" s="192">
        <v>35940.856812230006</v>
      </c>
      <c r="Q217" s="192">
        <v>1426383</v>
      </c>
      <c r="R217" s="192">
        <v>-522701</v>
      </c>
      <c r="S217" s="89" t="s">
        <v>26</v>
      </c>
    </row>
    <row r="218" spans="1:19" s="126" customFormat="1" ht="12.75">
      <c r="A218" s="89" t="s">
        <v>27</v>
      </c>
      <c r="B218" s="96">
        <f t="shared" si="14"/>
        <v>1808981</v>
      </c>
      <c r="C218" s="96">
        <f>1549107-521927</f>
        <v>1027180</v>
      </c>
      <c r="D218" s="96">
        <f>797414-15613</f>
        <v>781801</v>
      </c>
      <c r="E218" s="96">
        <f t="shared" si="15"/>
        <v>1295706.62676259</v>
      </c>
      <c r="F218" s="96">
        <f>'8a- Assets'!F200-'8b- LIAB'!K207+'9a-Assets'!O183</f>
        <v>350027.62308250985</v>
      </c>
      <c r="G218" s="192">
        <v>41955.53474847</v>
      </c>
      <c r="H218" s="192">
        <v>873384</v>
      </c>
      <c r="I218" s="192">
        <v>4962.083454</v>
      </c>
      <c r="J218" s="192">
        <v>25377.38547761</v>
      </c>
      <c r="K218" s="192">
        <v>141239.95</v>
      </c>
      <c r="L218" s="192">
        <v>1053296.39702719</v>
      </c>
      <c r="M218" s="192">
        <v>1295261.1707141371</v>
      </c>
      <c r="N218" s="192">
        <f aca="true" t="shared" si="16" ref="N218:N227">L218+M218</f>
        <v>2348557.567741327</v>
      </c>
      <c r="O218" s="192">
        <v>1434.7047014099999</v>
      </c>
      <c r="P218" s="192">
        <v>36412.69542497</v>
      </c>
      <c r="Q218" s="192">
        <v>1473372</v>
      </c>
      <c r="R218" s="192">
        <v>-613849</v>
      </c>
      <c r="S218" s="89" t="s">
        <v>27</v>
      </c>
    </row>
    <row r="219" spans="1:19" s="126" customFormat="1" ht="12.75">
      <c r="A219" s="89" t="s">
        <v>28</v>
      </c>
      <c r="B219" s="96">
        <f t="shared" si="14"/>
        <v>1873493</v>
      </c>
      <c r="C219" s="96">
        <f>1565210-533641</f>
        <v>1031569</v>
      </c>
      <c r="D219" s="96">
        <f>857537-15613</f>
        <v>841924</v>
      </c>
      <c r="E219" s="96">
        <f t="shared" si="15"/>
        <v>1399458.4134340063</v>
      </c>
      <c r="F219" s="96">
        <f>'8a- Assets'!F201-'8b- LIAB'!K208+'9a-Assets'!O184</f>
        <v>446966.1438736563</v>
      </c>
      <c r="G219" s="192">
        <v>40436.75769379</v>
      </c>
      <c r="H219" s="192">
        <v>878367</v>
      </c>
      <c r="I219" s="192">
        <v>4962.083454</v>
      </c>
      <c r="J219" s="192">
        <v>28726.42841256</v>
      </c>
      <c r="K219" s="192">
        <v>149183.15</v>
      </c>
      <c r="L219" s="192">
        <v>1107045.7136207765</v>
      </c>
      <c r="M219" s="192">
        <v>1401989.6230658984</v>
      </c>
      <c r="N219" s="192">
        <f t="shared" si="16"/>
        <v>2509035.336686675</v>
      </c>
      <c r="O219" s="192">
        <v>1938.82116641</v>
      </c>
      <c r="P219" s="192">
        <v>36643.60770486</v>
      </c>
      <c r="Q219" s="192">
        <v>1518021</v>
      </c>
      <c r="R219" s="192">
        <v>-643504</v>
      </c>
      <c r="S219" s="89" t="s">
        <v>28</v>
      </c>
    </row>
    <row r="220" spans="1:19" s="126" customFormat="1" ht="12.75">
      <c r="A220" s="89" t="s">
        <v>29</v>
      </c>
      <c r="B220" s="96">
        <f t="shared" si="14"/>
        <v>1800282</v>
      </c>
      <c r="C220" s="96">
        <f>1533209-524554</f>
        <v>1008655</v>
      </c>
      <c r="D220" s="96">
        <f>807240-15613</f>
        <v>791627</v>
      </c>
      <c r="E220" s="96">
        <f t="shared" si="15"/>
        <v>1438288</v>
      </c>
      <c r="F220" s="96">
        <f>'8a- Assets'!F202-'8b- LIAB'!K209+'9a-Assets'!O185</f>
        <v>496509</v>
      </c>
      <c r="G220" s="192">
        <v>40434</v>
      </c>
      <c r="H220" s="192">
        <v>869364</v>
      </c>
      <c r="I220" s="192">
        <v>5000</v>
      </c>
      <c r="J220" s="192">
        <v>26981</v>
      </c>
      <c r="K220" s="192">
        <f>12293+120841</f>
        <v>133134</v>
      </c>
      <c r="L220" s="192">
        <v>1130379</v>
      </c>
      <c r="M220" s="192">
        <v>1362695</v>
      </c>
      <c r="N220" s="192">
        <f t="shared" si="16"/>
        <v>2493074</v>
      </c>
      <c r="O220" s="192">
        <v>867</v>
      </c>
      <c r="P220" s="192">
        <v>36523</v>
      </c>
      <c r="Q220" s="192">
        <v>1367371</v>
      </c>
      <c r="R220" s="192">
        <v>-526132</v>
      </c>
      <c r="S220" s="89" t="s">
        <v>29</v>
      </c>
    </row>
    <row r="221" spans="1:19" s="126" customFormat="1" ht="12.75">
      <c r="A221" s="89" t="s">
        <v>30</v>
      </c>
      <c r="B221" s="96">
        <f t="shared" si="14"/>
        <v>1826932</v>
      </c>
      <c r="C221" s="96">
        <f>1486341-500824</f>
        <v>985517</v>
      </c>
      <c r="D221" s="96">
        <f>857237-15822</f>
        <v>841415</v>
      </c>
      <c r="E221" s="96">
        <f t="shared" si="15"/>
        <v>1444109</v>
      </c>
      <c r="F221" s="96">
        <f>'8a- Assets'!F203-'8b- LIAB'!K210+'9a-Assets'!O186</f>
        <v>511351</v>
      </c>
      <c r="G221" s="192">
        <v>42475</v>
      </c>
      <c r="H221" s="192">
        <v>860843</v>
      </c>
      <c r="I221" s="192">
        <v>4962</v>
      </c>
      <c r="J221" s="192">
        <v>24478</v>
      </c>
      <c r="K221" s="192">
        <f>425+110123</f>
        <v>110548</v>
      </c>
      <c r="L221" s="192">
        <v>1128497</v>
      </c>
      <c r="M221" s="192">
        <v>1400081</v>
      </c>
      <c r="N221" s="192">
        <f t="shared" si="16"/>
        <v>2528578</v>
      </c>
      <c r="O221" s="192">
        <v>439</v>
      </c>
      <c r="P221" s="192">
        <v>36644</v>
      </c>
      <c r="Q221" s="192">
        <v>1367213</v>
      </c>
      <c r="R221" s="192">
        <v>-551284</v>
      </c>
      <c r="S221" s="89" t="s">
        <v>30</v>
      </c>
    </row>
    <row r="222" spans="1:19" ht="12.75">
      <c r="A222" s="64" t="s">
        <v>31</v>
      </c>
      <c r="B222" s="123">
        <v>1846550.5189623886</v>
      </c>
      <c r="C222" s="96">
        <f>1500376-518363</f>
        <v>982013</v>
      </c>
      <c r="D222" s="96">
        <f>886795-22257</f>
        <v>864538</v>
      </c>
      <c r="E222" s="123">
        <f t="shared" si="15"/>
        <v>1466129.3</v>
      </c>
      <c r="F222" s="96">
        <f>'8a- Assets'!F204-'8b- LIAB'!K211+'9a-Assets'!O187</f>
        <v>513958.3</v>
      </c>
      <c r="G222" s="192">
        <v>41544</v>
      </c>
      <c r="H222" s="192">
        <v>884993</v>
      </c>
      <c r="I222" s="192">
        <v>4962</v>
      </c>
      <c r="J222" s="192">
        <v>20672</v>
      </c>
      <c r="K222" s="192">
        <f>313+112923</f>
        <v>113236</v>
      </c>
      <c r="L222" s="192">
        <v>1131303</v>
      </c>
      <c r="M222" s="192">
        <v>1371131</v>
      </c>
      <c r="N222" s="192">
        <f t="shared" si="16"/>
        <v>2502434</v>
      </c>
      <c r="O222" s="192">
        <v>2004</v>
      </c>
      <c r="P222" s="192">
        <v>36832</v>
      </c>
      <c r="Q222" s="192">
        <v>1421510</v>
      </c>
      <c r="R222" s="192">
        <v>-536865</v>
      </c>
      <c r="S222" s="64" t="s">
        <v>31</v>
      </c>
    </row>
    <row r="223" spans="1:19" ht="12.75">
      <c r="A223" s="64" t="s">
        <v>32</v>
      </c>
      <c r="B223" s="123">
        <v>1866215.1075598297</v>
      </c>
      <c r="C223" s="96">
        <f>1552204-524960</f>
        <v>1027244</v>
      </c>
      <c r="D223" s="96">
        <f>854792-15822</f>
        <v>838970</v>
      </c>
      <c r="E223" s="123">
        <f t="shared" si="15"/>
        <v>1472812.25</v>
      </c>
      <c r="F223" s="96">
        <f>'8a- Assets'!F205-'8b- LIAB'!K212+'9a-Assets'!O188</f>
        <v>510486.25</v>
      </c>
      <c r="G223" s="192">
        <v>41082</v>
      </c>
      <c r="H223" s="192">
        <v>885481</v>
      </c>
      <c r="I223" s="192">
        <v>4962</v>
      </c>
      <c r="J223" s="192">
        <v>30801</v>
      </c>
      <c r="K223" s="192">
        <f>314+94703</f>
        <v>95017</v>
      </c>
      <c r="L223" s="192">
        <v>1120079</v>
      </c>
      <c r="M223" s="192">
        <v>1363175</v>
      </c>
      <c r="N223" s="192">
        <f t="shared" si="16"/>
        <v>2483254</v>
      </c>
      <c r="O223" s="192">
        <v>456</v>
      </c>
      <c r="P223" s="192">
        <v>37067</v>
      </c>
      <c r="Q223" s="192">
        <v>1439413</v>
      </c>
      <c r="R223" s="192">
        <v>-526145</v>
      </c>
      <c r="S223" s="64" t="s">
        <v>32</v>
      </c>
    </row>
    <row r="224" spans="1:19" s="188" customFormat="1" ht="12.75">
      <c r="A224" s="187" t="s">
        <v>183</v>
      </c>
      <c r="B224" s="182">
        <f>C224+D224</f>
        <v>1891615</v>
      </c>
      <c r="C224" s="182">
        <f>1566486-509999</f>
        <v>1056487</v>
      </c>
      <c r="D224" s="182">
        <f>850950-15822</f>
        <v>835128</v>
      </c>
      <c r="E224" s="182">
        <f t="shared" si="15"/>
        <v>1906852.6807754599</v>
      </c>
      <c r="F224" s="182">
        <f>'8a- Assets'!F206-'8b- LIAB'!K213+'9a-Assets'!O189</f>
        <v>914304.68077546</v>
      </c>
      <c r="G224" s="291">
        <v>48479</v>
      </c>
      <c r="H224" s="291">
        <v>903911</v>
      </c>
      <c r="I224" s="291">
        <v>4962</v>
      </c>
      <c r="J224" s="291">
        <v>35196</v>
      </c>
      <c r="K224" s="291">
        <f>462+50742</f>
        <v>51204</v>
      </c>
      <c r="L224" s="291">
        <v>1164644</v>
      </c>
      <c r="M224" s="291">
        <v>1387311</v>
      </c>
      <c r="N224" s="192">
        <f t="shared" si="16"/>
        <v>2551955</v>
      </c>
      <c r="O224" s="291">
        <v>422</v>
      </c>
      <c r="P224" s="291">
        <v>37219</v>
      </c>
      <c r="Q224" s="291">
        <v>1431922</v>
      </c>
      <c r="R224" s="291">
        <v>-222538.38124946156</v>
      </c>
      <c r="S224" s="187" t="s">
        <v>33</v>
      </c>
    </row>
    <row r="225" spans="1:19" s="126" customFormat="1" ht="12.75">
      <c r="A225" s="89" t="s">
        <v>35</v>
      </c>
      <c r="B225" s="96">
        <f>C225+D225</f>
        <v>1946437</v>
      </c>
      <c r="C225" s="96">
        <f>1560832-518504</f>
        <v>1042328</v>
      </c>
      <c r="D225" s="96">
        <f>919058-14949</f>
        <v>904109</v>
      </c>
      <c r="E225" s="96">
        <f t="shared" si="15"/>
        <v>1914121.42578557</v>
      </c>
      <c r="F225" s="96">
        <f>'8a- Assets'!F207-'8b- LIAB'!K214+'9a-Assets'!O190</f>
        <v>903544.42578557</v>
      </c>
      <c r="G225" s="192">
        <v>48124</v>
      </c>
      <c r="H225" s="192">
        <v>922798</v>
      </c>
      <c r="I225" s="192">
        <v>4962</v>
      </c>
      <c r="J225" s="192">
        <v>34693</v>
      </c>
      <c r="K225" s="192">
        <f>451+52820</f>
        <v>53271</v>
      </c>
      <c r="L225" s="192">
        <v>1127867</v>
      </c>
      <c r="M225" s="192">
        <v>1461871</v>
      </c>
      <c r="N225" s="192">
        <f t="shared" si="16"/>
        <v>2589738</v>
      </c>
      <c r="O225" s="192">
        <v>728</v>
      </c>
      <c r="P225" s="192">
        <v>37182</v>
      </c>
      <c r="Q225" s="192">
        <v>1469186</v>
      </c>
      <c r="R225" s="192">
        <v>-235764.38820802822</v>
      </c>
      <c r="S225" s="89" t="s">
        <v>35</v>
      </c>
    </row>
    <row r="226" spans="1:19" s="126" customFormat="1" ht="12.75">
      <c r="A226" s="89" t="s">
        <v>36</v>
      </c>
      <c r="B226" s="96">
        <f>C226+D226</f>
        <v>1986509</v>
      </c>
      <c r="C226" s="96">
        <f>1554296-502534</f>
        <v>1051762</v>
      </c>
      <c r="D226" s="96">
        <f>960654-25907</f>
        <v>934747</v>
      </c>
      <c r="E226" s="96">
        <f t="shared" si="15"/>
        <v>1902201.79825545</v>
      </c>
      <c r="F226" s="96">
        <f>'8a- Assets'!F208-'8b- LIAB'!K215+'9a-Assets'!O191</f>
        <v>863193.79825545</v>
      </c>
      <c r="G226" s="192">
        <v>50390</v>
      </c>
      <c r="H226" s="192">
        <v>959787</v>
      </c>
      <c r="I226" s="192">
        <v>4962</v>
      </c>
      <c r="J226" s="192">
        <v>23869</v>
      </c>
      <c r="K226" s="192">
        <f>584+43452</f>
        <v>44036</v>
      </c>
      <c r="L226" s="192">
        <v>1164547</v>
      </c>
      <c r="M226" s="192">
        <v>1474571</v>
      </c>
      <c r="N226" s="192">
        <f t="shared" si="16"/>
        <v>2639118</v>
      </c>
      <c r="O226" s="192">
        <v>1205</v>
      </c>
      <c r="P226" s="192">
        <v>37103</v>
      </c>
      <c r="Q226" s="192">
        <v>1440892</v>
      </c>
      <c r="R226" s="192">
        <v>-229094.67002233752</v>
      </c>
      <c r="S226" s="89" t="s">
        <v>36</v>
      </c>
    </row>
    <row r="227" spans="1:19" s="126" customFormat="1" ht="12.75">
      <c r="A227" s="89" t="s">
        <v>37</v>
      </c>
      <c r="B227" s="96">
        <f>C227+D227</f>
        <v>2053066</v>
      </c>
      <c r="C227" s="96">
        <f>1661061-543145</f>
        <v>1117916</v>
      </c>
      <c r="D227" s="96">
        <f>949227-14077</f>
        <v>935150</v>
      </c>
      <c r="E227" s="96">
        <f t="shared" si="15"/>
        <v>1899395.99027778</v>
      </c>
      <c r="F227" s="96">
        <f>'8a- Assets'!F209-'8b- LIAB'!K216+'9a-Assets'!O192</f>
        <v>842144.99027778</v>
      </c>
      <c r="G227" s="192">
        <v>53507</v>
      </c>
      <c r="H227" s="192">
        <v>962751</v>
      </c>
      <c r="I227" s="192">
        <v>4962</v>
      </c>
      <c r="J227" s="192">
        <v>36031</v>
      </c>
      <c r="K227" s="192">
        <f>15079+24827</f>
        <v>39906</v>
      </c>
      <c r="L227" s="192">
        <v>1209324</v>
      </c>
      <c r="M227" s="192">
        <v>1510417</v>
      </c>
      <c r="N227" s="192">
        <f t="shared" si="16"/>
        <v>2719741</v>
      </c>
      <c r="O227" s="192">
        <v>814</v>
      </c>
      <c r="P227" s="192">
        <v>36839</v>
      </c>
      <c r="Q227" s="192">
        <v>1348810</v>
      </c>
      <c r="R227" s="192">
        <v>-153741</v>
      </c>
      <c r="S227" s="89" t="s">
        <v>37</v>
      </c>
    </row>
    <row r="228" spans="1:19" s="126" customFormat="1" ht="12.75">
      <c r="A228" s="89"/>
      <c r="B228" s="96"/>
      <c r="C228" s="96"/>
      <c r="D228" s="96"/>
      <c r="E228" s="96"/>
      <c r="F228" s="96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89"/>
    </row>
    <row r="229" spans="1:19" s="126" customFormat="1" ht="12.75">
      <c r="A229" s="89"/>
      <c r="B229" s="96"/>
      <c r="C229" s="96"/>
      <c r="D229" s="96"/>
      <c r="E229" s="96"/>
      <c r="F229" s="96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89"/>
    </row>
    <row r="230" spans="1:19" s="126" customFormat="1" ht="12.75">
      <c r="A230" s="145">
        <v>2012</v>
      </c>
      <c r="B230" s="96"/>
      <c r="C230" s="96"/>
      <c r="D230" s="96"/>
      <c r="E230" s="96"/>
      <c r="F230" s="96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45">
        <v>2012</v>
      </c>
    </row>
    <row r="231" spans="1:19" s="184" customFormat="1" ht="12.75">
      <c r="A231" s="89" t="s">
        <v>25</v>
      </c>
      <c r="B231" s="96">
        <f aca="true" t="shared" si="17" ref="B231:B241">C231+D231</f>
        <v>2000288</v>
      </c>
      <c r="C231" s="96">
        <f>1644412-545843</f>
        <v>1098569</v>
      </c>
      <c r="D231" s="96">
        <f>915796-14077</f>
        <v>901719</v>
      </c>
      <c r="E231" s="96">
        <f t="shared" si="15"/>
        <v>1955190</v>
      </c>
      <c r="F231" s="96">
        <f>'8a- Assets'!F213-'8b- LIAB'!K219+'9a-Assets'!O195</f>
        <v>894263</v>
      </c>
      <c r="G231" s="192">
        <v>55271</v>
      </c>
      <c r="H231" s="192">
        <v>957812</v>
      </c>
      <c r="I231" s="192">
        <v>4962</v>
      </c>
      <c r="J231" s="192">
        <v>42882</v>
      </c>
      <c r="K231" s="192">
        <f>572+59320</f>
        <v>59892</v>
      </c>
      <c r="L231" s="192">
        <v>1166557</v>
      </c>
      <c r="M231" s="192">
        <v>1501468</v>
      </c>
      <c r="N231" s="192">
        <f aca="true" t="shared" si="18" ref="N231:N242">L231+M231</f>
        <v>2668025</v>
      </c>
      <c r="O231" s="192">
        <v>548</v>
      </c>
      <c r="P231" s="192">
        <v>36733</v>
      </c>
      <c r="Q231" s="192">
        <v>1375909</v>
      </c>
      <c r="R231" s="192">
        <v>-125736</v>
      </c>
      <c r="S231" s="89" t="s">
        <v>25</v>
      </c>
    </row>
    <row r="232" spans="1:19" s="184" customFormat="1" ht="12.75">
      <c r="A232" s="89" t="s">
        <v>26</v>
      </c>
      <c r="B232" s="96">
        <f t="shared" si="17"/>
        <v>2171626</v>
      </c>
      <c r="C232" s="96">
        <f>1728448-546126</f>
        <v>1182322</v>
      </c>
      <c r="D232" s="96">
        <f>1012147-22843</f>
        <v>989304</v>
      </c>
      <c r="E232" s="96">
        <f t="shared" si="15"/>
        <v>1913126</v>
      </c>
      <c r="F232" s="96">
        <f>'8a- Assets'!F214-'8b- LIAB'!K220+'9a-Assets'!O196</f>
        <v>838946</v>
      </c>
      <c r="G232" s="192">
        <v>56403</v>
      </c>
      <c r="H232" s="192">
        <v>976773</v>
      </c>
      <c r="I232" s="192">
        <v>4962</v>
      </c>
      <c r="J232" s="192">
        <v>36042</v>
      </c>
      <c r="K232" s="192">
        <f>573+61291</f>
        <v>61864</v>
      </c>
      <c r="L232" s="192">
        <v>1207323</v>
      </c>
      <c r="M232" s="192">
        <v>1475779</v>
      </c>
      <c r="N232" s="192">
        <f t="shared" si="18"/>
        <v>2683102</v>
      </c>
      <c r="O232" s="192">
        <v>3341</v>
      </c>
      <c r="P232" s="192">
        <v>36702</v>
      </c>
      <c r="Q232" s="192">
        <v>1390235</v>
      </c>
      <c r="R232" s="192">
        <v>-28629</v>
      </c>
      <c r="S232" s="89" t="s">
        <v>26</v>
      </c>
    </row>
    <row r="233" spans="1:19" s="169" customFormat="1" ht="12.75">
      <c r="A233" s="89" t="s">
        <v>27</v>
      </c>
      <c r="B233" s="96">
        <f t="shared" si="17"/>
        <v>2088129</v>
      </c>
      <c r="C233" s="96">
        <f>1701369-539910</f>
        <v>1161459</v>
      </c>
      <c r="D233" s="96">
        <f>940111-13441</f>
        <v>926670</v>
      </c>
      <c r="E233" s="96">
        <f t="shared" si="15"/>
        <v>1916851</v>
      </c>
      <c r="F233" s="96">
        <f>'8a- Assets'!F215-'8b- LIAB'!K221+'9a-Assets'!O197</f>
        <v>820731</v>
      </c>
      <c r="G233" s="192">
        <v>58920</v>
      </c>
      <c r="H233" s="192">
        <v>985852</v>
      </c>
      <c r="I233" s="192">
        <v>4962</v>
      </c>
      <c r="J233" s="192">
        <v>46386</v>
      </c>
      <c r="K233" s="192">
        <f>489+49324</f>
        <v>49813</v>
      </c>
      <c r="L233" s="192">
        <v>1230537</v>
      </c>
      <c r="M233" s="192">
        <v>1521064</v>
      </c>
      <c r="N233" s="192">
        <f t="shared" si="18"/>
        <v>2751601</v>
      </c>
      <c r="O233" s="192">
        <v>1090</v>
      </c>
      <c r="P233" s="192">
        <v>36606</v>
      </c>
      <c r="Q233" s="192">
        <v>1374356</v>
      </c>
      <c r="R233" s="192">
        <v>-158671</v>
      </c>
      <c r="S233" s="89" t="s">
        <v>27</v>
      </c>
    </row>
    <row r="234" spans="1:19" s="169" customFormat="1" ht="12.75">
      <c r="A234" s="89" t="s">
        <v>28</v>
      </c>
      <c r="B234" s="96">
        <f t="shared" si="17"/>
        <v>2179590</v>
      </c>
      <c r="C234" s="96">
        <f>1695237-539490</f>
        <v>1155747</v>
      </c>
      <c r="D234" s="96">
        <f>1041640-17797</f>
        <v>1023843</v>
      </c>
      <c r="E234" s="96">
        <f t="shared" si="15"/>
        <v>1974795</v>
      </c>
      <c r="F234" s="96">
        <f>'8a- Assets'!F216-'8b- LIAB'!K222+'9a-Assets'!O198</f>
        <v>893795</v>
      </c>
      <c r="G234" s="192">
        <v>56546</v>
      </c>
      <c r="H234" s="192">
        <v>973987</v>
      </c>
      <c r="I234" s="192">
        <v>4962</v>
      </c>
      <c r="J234" s="192">
        <v>45505</v>
      </c>
      <c r="K234" s="192">
        <f>228+34148</f>
        <v>34376</v>
      </c>
      <c r="L234" s="192">
        <v>1307943</v>
      </c>
      <c r="M234" s="192">
        <v>1571616</v>
      </c>
      <c r="N234" s="192">
        <f t="shared" si="18"/>
        <v>2879559</v>
      </c>
      <c r="O234" s="192">
        <v>1260</v>
      </c>
      <c r="P234" s="192">
        <v>36574</v>
      </c>
      <c r="Q234" s="192">
        <v>1392132</v>
      </c>
      <c r="R234" s="192">
        <v>-155140</v>
      </c>
      <c r="S234" s="89" t="s">
        <v>28</v>
      </c>
    </row>
    <row r="235" spans="1:19" s="169" customFormat="1" ht="12.75">
      <c r="A235" s="89" t="s">
        <v>29</v>
      </c>
      <c r="B235" s="96">
        <f t="shared" si="17"/>
        <v>2100969</v>
      </c>
      <c r="C235" s="96">
        <f>1708639-518898</f>
        <v>1189741</v>
      </c>
      <c r="D235" s="96">
        <f>929225-17997</f>
        <v>911228</v>
      </c>
      <c r="E235" s="96">
        <f t="shared" si="15"/>
        <v>1935850</v>
      </c>
      <c r="F235" s="96">
        <f>'8a- Assets'!F217-'8b- LIAB'!K223+'9a-Assets'!O199</f>
        <v>852172</v>
      </c>
      <c r="G235" s="192">
        <v>66528</v>
      </c>
      <c r="H235" s="192">
        <v>969895</v>
      </c>
      <c r="I235" s="192">
        <v>4962</v>
      </c>
      <c r="J235" s="192">
        <v>42293</v>
      </c>
      <c r="K235" s="192">
        <f>5+16843</f>
        <v>16848</v>
      </c>
      <c r="L235" s="192">
        <v>1228763</v>
      </c>
      <c r="M235" s="192">
        <v>1559275</v>
      </c>
      <c r="N235" s="192">
        <f t="shared" si="18"/>
        <v>2788038</v>
      </c>
      <c r="O235" s="192">
        <v>2714</v>
      </c>
      <c r="P235" s="192">
        <v>36529</v>
      </c>
      <c r="Q235" s="192">
        <v>1410234</v>
      </c>
      <c r="R235" s="192">
        <v>-200695</v>
      </c>
      <c r="S235" s="89" t="s">
        <v>29</v>
      </c>
    </row>
    <row r="236" spans="1:19" s="189" customFormat="1" ht="12.75">
      <c r="A236" s="89" t="s">
        <v>30</v>
      </c>
      <c r="B236" s="96">
        <f t="shared" si="17"/>
        <v>2031604</v>
      </c>
      <c r="C236" s="96">
        <f>1666977-507436</f>
        <v>1159541</v>
      </c>
      <c r="D236" s="96">
        <f>920605-48542</f>
        <v>872063</v>
      </c>
      <c r="E236" s="96">
        <f aca="true" t="shared" si="19" ref="E236:E242">SUM(F236:J236)</f>
        <v>1929217</v>
      </c>
      <c r="F236" s="96">
        <f>'8a- Assets'!F218-'8b- LIAB'!K224+'9a-Assets'!O200</f>
        <v>852148</v>
      </c>
      <c r="G236" s="192">
        <v>67546</v>
      </c>
      <c r="H236" s="192">
        <v>962407</v>
      </c>
      <c r="I236" s="192">
        <v>4962</v>
      </c>
      <c r="J236" s="192">
        <v>42154</v>
      </c>
      <c r="K236" s="192">
        <f>0+10343</f>
        <v>10343</v>
      </c>
      <c r="L236" s="192">
        <v>1236188</v>
      </c>
      <c r="M236" s="192">
        <v>1512129</v>
      </c>
      <c r="N236" s="192">
        <f t="shared" si="18"/>
        <v>2748317</v>
      </c>
      <c r="O236" s="192">
        <v>1071</v>
      </c>
      <c r="P236" s="192">
        <v>36423</v>
      </c>
      <c r="Q236" s="192">
        <v>1407759</v>
      </c>
      <c r="R236" s="192">
        <v>-232749</v>
      </c>
      <c r="S236" s="89" t="s">
        <v>30</v>
      </c>
    </row>
    <row r="237" spans="1:19" ht="12.75">
      <c r="A237" s="89" t="s">
        <v>31</v>
      </c>
      <c r="B237" s="96">
        <f t="shared" si="17"/>
        <v>2067816</v>
      </c>
      <c r="C237" s="96">
        <f>1649526-505050</f>
        <v>1144476</v>
      </c>
      <c r="D237" s="96">
        <f>940073-16733</f>
        <v>923340</v>
      </c>
      <c r="E237" s="96">
        <f t="shared" si="19"/>
        <v>2008970.3887787855</v>
      </c>
      <c r="F237" s="96">
        <f>'8a- Assets'!F219-'8b- LIAB'!K225+'9a-Assets'!O201</f>
        <v>921496.2337022461</v>
      </c>
      <c r="G237" s="192">
        <v>78276.06230926998</v>
      </c>
      <c r="H237" s="192">
        <v>964738.8758173093</v>
      </c>
      <c r="I237" s="192">
        <v>4962</v>
      </c>
      <c r="J237" s="192">
        <v>39497.216949960006</v>
      </c>
      <c r="K237" s="192">
        <v>0</v>
      </c>
      <c r="L237" s="192">
        <v>1212367.1949587795</v>
      </c>
      <c r="M237" s="192">
        <v>1611530.5959212277</v>
      </c>
      <c r="N237" s="192">
        <f t="shared" si="18"/>
        <v>2823897.790880007</v>
      </c>
      <c r="O237" s="192">
        <v>1234.22537186</v>
      </c>
      <c r="P237" s="192">
        <v>36455.78109818</v>
      </c>
      <c r="Q237" s="192">
        <v>1405954.1816403647</v>
      </c>
      <c r="R237" s="192">
        <v>-190755.23498370074</v>
      </c>
      <c r="S237" s="89" t="s">
        <v>31</v>
      </c>
    </row>
    <row r="238" spans="1:19" ht="12.75">
      <c r="A238" s="89" t="s">
        <v>32</v>
      </c>
      <c r="B238" s="96">
        <f t="shared" si="17"/>
        <v>2085503</v>
      </c>
      <c r="C238" s="96">
        <f>1638149-509722</f>
        <v>1128427</v>
      </c>
      <c r="D238" s="96">
        <f>986895-29819</f>
        <v>957076</v>
      </c>
      <c r="E238" s="96">
        <f t="shared" si="19"/>
        <v>2082174.651187126</v>
      </c>
      <c r="F238" s="96">
        <f>'8a- Assets'!F220-'8b- LIAB'!K226+'9a-Assets'!O202</f>
        <v>970507.3851887232</v>
      </c>
      <c r="G238" s="192">
        <v>69735.23899243999</v>
      </c>
      <c r="H238" s="192">
        <v>991132.2141682727</v>
      </c>
      <c r="I238" s="192">
        <v>4962</v>
      </c>
      <c r="J238" s="192">
        <v>45837.81283769</v>
      </c>
      <c r="K238" s="192">
        <v>0</v>
      </c>
      <c r="L238" s="192">
        <v>1216632.4023781964</v>
      </c>
      <c r="M238" s="192">
        <v>1684395.6610967568</v>
      </c>
      <c r="N238" s="192">
        <f t="shared" si="18"/>
        <v>2901028.063474953</v>
      </c>
      <c r="O238" s="192">
        <v>939.9872213199998</v>
      </c>
      <c r="P238" s="192">
        <v>36477.32393479</v>
      </c>
      <c r="Q238" s="192">
        <v>1419286.4900979213</v>
      </c>
      <c r="R238" s="192">
        <v>-190054.75329866732</v>
      </c>
      <c r="S238" s="89" t="s">
        <v>32</v>
      </c>
    </row>
    <row r="239" spans="1:19" ht="12.75">
      <c r="A239" s="89" t="s">
        <v>33</v>
      </c>
      <c r="B239" s="96">
        <f t="shared" si="17"/>
        <v>2086088</v>
      </c>
      <c r="C239" s="96">
        <f>1673169-542517</f>
        <v>1130652</v>
      </c>
      <c r="D239" s="96">
        <f>991073-35637</f>
        <v>955436</v>
      </c>
      <c r="E239" s="96">
        <f t="shared" si="19"/>
        <v>2118090.733116764</v>
      </c>
      <c r="F239" s="96">
        <f>'8a- Assets'!F221-'8b- LIAB'!K227+'9a-Assets'!O203</f>
        <v>992946.2614599317</v>
      </c>
      <c r="G239" s="192">
        <v>71122.25776431999</v>
      </c>
      <c r="H239" s="192">
        <v>1002137.1695839344</v>
      </c>
      <c r="I239" s="192">
        <v>4962</v>
      </c>
      <c r="J239" s="192">
        <v>46923.044308577926</v>
      </c>
      <c r="K239" s="192">
        <v>0</v>
      </c>
      <c r="L239" s="192">
        <v>1243395.1843269654</v>
      </c>
      <c r="M239" s="192">
        <v>1707995.5322173794</v>
      </c>
      <c r="N239" s="192">
        <f t="shared" si="18"/>
        <v>2951390.716544345</v>
      </c>
      <c r="O239" s="192">
        <v>882.2383743599997</v>
      </c>
      <c r="P239" s="192">
        <v>36481.19491324</v>
      </c>
      <c r="Q239" s="192">
        <v>1450225.9424011991</v>
      </c>
      <c r="R239" s="192">
        <v>-234801.24415854027</v>
      </c>
      <c r="S239" s="89" t="s">
        <v>33</v>
      </c>
    </row>
    <row r="240" spans="1:19" ht="12.75">
      <c r="A240" s="89" t="s">
        <v>35</v>
      </c>
      <c r="B240" s="96">
        <f t="shared" si="17"/>
        <v>2363739</v>
      </c>
      <c r="C240" s="96">
        <f>1822456-543565</f>
        <v>1278891</v>
      </c>
      <c r="D240" s="96">
        <f>1120485-35637</f>
        <v>1084848</v>
      </c>
      <c r="E240" s="96">
        <f t="shared" si="19"/>
        <v>2068675</v>
      </c>
      <c r="F240" s="96">
        <f>'8a- Assets'!F222-'8b- LIAB'!K228+'9a-Assets'!O204</f>
        <v>954059</v>
      </c>
      <c r="G240" s="192">
        <v>72166</v>
      </c>
      <c r="H240" s="192">
        <v>992898</v>
      </c>
      <c r="I240" s="192">
        <v>4962</v>
      </c>
      <c r="J240" s="192">
        <v>44590</v>
      </c>
      <c r="K240" s="192">
        <v>0</v>
      </c>
      <c r="L240" s="192">
        <v>1313201.47489742</v>
      </c>
      <c r="M240" s="192">
        <v>1839643</v>
      </c>
      <c r="N240" s="192">
        <f t="shared" si="18"/>
        <v>3152844.47489742</v>
      </c>
      <c r="O240" s="192">
        <v>1045</v>
      </c>
      <c r="P240" s="192">
        <v>36522</v>
      </c>
      <c r="Q240" s="192">
        <v>1448566</v>
      </c>
      <c r="R240" s="192">
        <v>-206565</v>
      </c>
      <c r="S240" s="89" t="s">
        <v>35</v>
      </c>
    </row>
    <row r="241" spans="1:19" ht="12.75">
      <c r="A241" s="89" t="s">
        <v>36</v>
      </c>
      <c r="B241" s="96">
        <f t="shared" si="17"/>
        <v>2383284</v>
      </c>
      <c r="C241" s="96">
        <f>1798064-539533</f>
        <v>1258531</v>
      </c>
      <c r="D241" s="96">
        <f>1136498-11745</f>
        <v>1124753</v>
      </c>
      <c r="E241" s="96">
        <f t="shared" si="19"/>
        <v>2126050.3267228664</v>
      </c>
      <c r="F241" s="96">
        <f>'8a- Assets'!F223-'8b- LIAB'!K229+'9a-Assets'!O205</f>
        <v>999662.3913998585</v>
      </c>
      <c r="G241" s="192">
        <v>73463.55022461999</v>
      </c>
      <c r="H241" s="192">
        <v>1006554.3383284902</v>
      </c>
      <c r="I241" s="192">
        <v>4962</v>
      </c>
      <c r="J241" s="192">
        <v>41408.046769897905</v>
      </c>
      <c r="K241" s="192">
        <v>0</v>
      </c>
      <c r="L241" s="192">
        <v>1353013.5646305522</v>
      </c>
      <c r="M241" s="192">
        <v>1895303.1311319089</v>
      </c>
      <c r="N241" s="192">
        <f t="shared" si="18"/>
        <v>3248316.695762461</v>
      </c>
      <c r="O241" s="192">
        <v>865.7959993599998</v>
      </c>
      <c r="P241" s="192">
        <v>36494.3225793</v>
      </c>
      <c r="Q241" s="192">
        <v>1456123.6145702156</v>
      </c>
      <c r="R241" s="192">
        <v>-232466.04343869712</v>
      </c>
      <c r="S241" s="89" t="s">
        <v>36</v>
      </c>
    </row>
    <row r="242" spans="1:19" ht="12.75">
      <c r="A242" s="89" t="s">
        <v>37</v>
      </c>
      <c r="B242" s="96">
        <f>C242+D242</f>
        <v>2485030</v>
      </c>
      <c r="C242" s="96">
        <f>1828214-525637</f>
        <v>1302577</v>
      </c>
      <c r="D242" s="96">
        <f>1193365-10912</f>
        <v>1182453</v>
      </c>
      <c r="E242" s="96">
        <f t="shared" si="19"/>
        <v>2140334.2706708377</v>
      </c>
      <c r="F242" s="96">
        <v>1000609</v>
      </c>
      <c r="G242" s="192">
        <v>75493</v>
      </c>
      <c r="H242" s="192">
        <v>1013003</v>
      </c>
      <c r="I242" s="192">
        <v>4962</v>
      </c>
      <c r="J242" s="192">
        <v>46267.27067083791</v>
      </c>
      <c r="K242" s="192">
        <v>0</v>
      </c>
      <c r="L242" s="192">
        <v>1407435.675675257</v>
      </c>
      <c r="M242" s="192">
        <v>1941279.2201879746</v>
      </c>
      <c r="N242" s="192">
        <f t="shared" si="18"/>
        <v>3348714.8958632317</v>
      </c>
      <c r="O242" s="192">
        <v>623.8088418599999</v>
      </c>
      <c r="P242" s="192">
        <v>36472.274832459996</v>
      </c>
      <c r="Q242" s="192">
        <v>1451323.591491079</v>
      </c>
      <c r="R242" s="192">
        <v>-211773.41598557623</v>
      </c>
      <c r="S242" s="89" t="s">
        <v>37</v>
      </c>
    </row>
    <row r="243" spans="1:19" ht="12.75">
      <c r="A243" s="219"/>
      <c r="B243" s="220"/>
      <c r="C243" s="220"/>
      <c r="D243" s="220"/>
      <c r="E243" s="220"/>
      <c r="F243" s="220"/>
      <c r="G243" s="319"/>
      <c r="H243" s="319"/>
      <c r="I243" s="319"/>
      <c r="J243" s="319"/>
      <c r="K243" s="319"/>
      <c r="L243" s="319"/>
      <c r="M243" s="319"/>
      <c r="N243" s="319"/>
      <c r="O243" s="319"/>
      <c r="P243" s="319"/>
      <c r="Q243" s="319"/>
      <c r="R243" s="319"/>
      <c r="S243" s="219"/>
    </row>
    <row r="244" spans="1:19" ht="12.75">
      <c r="A244" s="219"/>
      <c r="B244" s="220"/>
      <c r="C244" s="220"/>
      <c r="D244" s="220"/>
      <c r="E244" s="220"/>
      <c r="F244" s="220"/>
      <c r="G244" s="319"/>
      <c r="H244" s="319"/>
      <c r="I244" s="192"/>
      <c r="J244" s="319"/>
      <c r="K244" s="319"/>
      <c r="L244" s="319"/>
      <c r="M244" s="319"/>
      <c r="N244" s="319"/>
      <c r="O244" s="319"/>
      <c r="P244" s="319"/>
      <c r="Q244" s="319"/>
      <c r="R244" s="319"/>
      <c r="S244" s="219"/>
    </row>
    <row r="245" spans="1:19" s="230" customFormat="1" ht="12.75">
      <c r="A245" s="145">
        <v>2013</v>
      </c>
      <c r="B245" s="229"/>
      <c r="C245" s="229"/>
      <c r="D245" s="229"/>
      <c r="E245" s="229"/>
      <c r="F245" s="229"/>
      <c r="G245" s="237"/>
      <c r="H245" s="237"/>
      <c r="I245" s="237"/>
      <c r="J245" s="237"/>
      <c r="K245" s="237"/>
      <c r="L245" s="237"/>
      <c r="M245" s="237"/>
      <c r="N245" s="237"/>
      <c r="O245" s="237"/>
      <c r="P245" s="237"/>
      <c r="Q245" s="237"/>
      <c r="R245" s="237"/>
      <c r="S245" s="145">
        <v>2013</v>
      </c>
    </row>
    <row r="246" spans="1:19" s="230" customFormat="1" ht="12.75">
      <c r="A246" s="89" t="s">
        <v>25</v>
      </c>
      <c r="B246" s="96">
        <f aca="true" t="shared" si="20" ref="B246:B255">C246+D246</f>
        <v>2435059</v>
      </c>
      <c r="C246" s="96">
        <f>1812008-526150</f>
        <v>1285858</v>
      </c>
      <c r="D246" s="96">
        <f>1160113-10912</f>
        <v>1149201</v>
      </c>
      <c r="E246" s="96">
        <f aca="true" t="shared" si="21" ref="E246:E255">SUM(F246:J246)</f>
        <v>2310354.71954244</v>
      </c>
      <c r="F246" s="96">
        <f>'8a- Assets'!F227-'8b- LIAB'!K233+'9a-Assets'!O209</f>
        <v>1045462.7195424399</v>
      </c>
      <c r="G246" s="320">
        <v>198613</v>
      </c>
      <c r="H246" s="192">
        <v>1013321</v>
      </c>
      <c r="I246" s="192">
        <v>4962</v>
      </c>
      <c r="J246" s="192">
        <v>47996</v>
      </c>
      <c r="K246" s="192">
        <v>0</v>
      </c>
      <c r="L246" s="192">
        <v>1369609</v>
      </c>
      <c r="M246" s="192">
        <v>1960470</v>
      </c>
      <c r="N246" s="192">
        <f aca="true" t="shared" si="22" ref="N246:N257">L246+M246</f>
        <v>3330079</v>
      </c>
      <c r="O246" s="192">
        <v>653</v>
      </c>
      <c r="P246" s="192">
        <v>36340</v>
      </c>
      <c r="Q246" s="192">
        <v>1452493.9539559877</v>
      </c>
      <c r="R246" s="192">
        <v>-200426.23804515088</v>
      </c>
      <c r="S246" s="89" t="s">
        <v>25</v>
      </c>
    </row>
    <row r="247" spans="1:19" s="230" customFormat="1" ht="12.75">
      <c r="A247" s="89" t="s">
        <v>26</v>
      </c>
      <c r="B247" s="96">
        <f t="shared" si="20"/>
        <v>2488708</v>
      </c>
      <c r="C247" s="96">
        <f>1850121-516572</f>
        <v>1333549</v>
      </c>
      <c r="D247" s="96">
        <f>1166071-10912</f>
        <v>1155159</v>
      </c>
      <c r="E247" s="96">
        <f t="shared" si="21"/>
        <v>2309962.67427605</v>
      </c>
      <c r="F247" s="96">
        <f>'8a- Assets'!F228-'8b- LIAB'!K234+'9a-Assets'!O210</f>
        <v>1029730.67427605</v>
      </c>
      <c r="G247" s="320">
        <v>184928</v>
      </c>
      <c r="H247" s="192">
        <v>1047590</v>
      </c>
      <c r="I247" s="192">
        <v>4962</v>
      </c>
      <c r="J247" s="192">
        <v>42752</v>
      </c>
      <c r="K247" s="192">
        <v>0</v>
      </c>
      <c r="L247" s="192">
        <v>1398569</v>
      </c>
      <c r="M247" s="192">
        <v>1892406</v>
      </c>
      <c r="N247" s="192">
        <f t="shared" si="22"/>
        <v>3290975</v>
      </c>
      <c r="O247" s="192">
        <v>1246</v>
      </c>
      <c r="P247" s="192">
        <v>36365</v>
      </c>
      <c r="Q247" s="192">
        <v>1437806.5382754619</v>
      </c>
      <c r="R247" s="192">
        <v>-86545.84630127001</v>
      </c>
      <c r="S247" s="89" t="s">
        <v>26</v>
      </c>
    </row>
    <row r="248" spans="1:19" s="227" customFormat="1" ht="12.75">
      <c r="A248" s="89" t="s">
        <v>27</v>
      </c>
      <c r="B248" s="96">
        <f t="shared" si="20"/>
        <v>2496244</v>
      </c>
      <c r="C248" s="96">
        <f>1844978-511750</f>
        <v>1333228</v>
      </c>
      <c r="D248" s="96">
        <f>1175323-12307</f>
        <v>1163016</v>
      </c>
      <c r="E248" s="96">
        <f t="shared" si="21"/>
        <v>2329910.82555388</v>
      </c>
      <c r="F248" s="96">
        <f>'8a- Assets'!F229-'8b- LIAB'!K235+'9a-Assets'!O211</f>
        <v>1018024.82555388</v>
      </c>
      <c r="G248" s="320">
        <v>204205</v>
      </c>
      <c r="H248" s="192">
        <v>1034711</v>
      </c>
      <c r="I248" s="192">
        <v>5006</v>
      </c>
      <c r="J248" s="192">
        <v>67964</v>
      </c>
      <c r="K248" s="192">
        <v>0</v>
      </c>
      <c r="L248" s="192">
        <v>1389067</v>
      </c>
      <c r="M248" s="192">
        <v>1974893</v>
      </c>
      <c r="N248" s="192">
        <f t="shared" si="22"/>
        <v>3363960</v>
      </c>
      <c r="O248" s="192">
        <v>1856</v>
      </c>
      <c r="P248" s="192">
        <v>36401</v>
      </c>
      <c r="Q248" s="192">
        <v>1432070.954906362</v>
      </c>
      <c r="R248" s="192">
        <v>-151154</v>
      </c>
      <c r="S248" s="89" t="s">
        <v>27</v>
      </c>
    </row>
    <row r="249" spans="1:19" s="227" customFormat="1" ht="12.75">
      <c r="A249" s="89" t="s">
        <v>28</v>
      </c>
      <c r="B249" s="96">
        <f t="shared" si="20"/>
        <v>2469081</v>
      </c>
      <c r="C249" s="96">
        <f>1867963-512272</f>
        <v>1355691</v>
      </c>
      <c r="D249" s="96">
        <f>1133644-20254</f>
        <v>1113390</v>
      </c>
      <c r="E249" s="96">
        <f>SUM(F249:J249)</f>
        <v>2166501.08181538</v>
      </c>
      <c r="F249" s="96">
        <f>'8a- Assets'!F230-'8b- LIAB'!K236+'9a-Assets'!O212</f>
        <v>973573.0818153801</v>
      </c>
      <c r="G249" s="192">
        <v>202292</v>
      </c>
      <c r="H249" s="192">
        <v>934597</v>
      </c>
      <c r="I249" s="192">
        <v>5005</v>
      </c>
      <c r="J249" s="192">
        <v>51034</v>
      </c>
      <c r="K249" s="192">
        <v>0</v>
      </c>
      <c r="L249" s="192">
        <v>1428204</v>
      </c>
      <c r="M249" s="192">
        <v>1907129</v>
      </c>
      <c r="N249" s="192">
        <f t="shared" si="22"/>
        <v>3335333</v>
      </c>
      <c r="O249" s="192">
        <v>1451</v>
      </c>
      <c r="P249" s="192">
        <v>36363</v>
      </c>
      <c r="Q249" s="192">
        <v>1439219</v>
      </c>
      <c r="R249" s="192">
        <v>-176784</v>
      </c>
      <c r="S249" s="89" t="s">
        <v>28</v>
      </c>
    </row>
    <row r="250" spans="1:19" s="227" customFormat="1" ht="12.75">
      <c r="A250" s="89" t="s">
        <v>29</v>
      </c>
      <c r="B250" s="96">
        <f t="shared" si="20"/>
        <v>2400168</v>
      </c>
      <c r="C250" s="96">
        <f>1845438-509159</f>
        <v>1336279</v>
      </c>
      <c r="D250" s="96">
        <f>1083412-19523</f>
        <v>1063889</v>
      </c>
      <c r="E250" s="96">
        <f t="shared" si="21"/>
        <v>2176558.36441037</v>
      </c>
      <c r="F250" s="96">
        <f>'8a- Assets'!F231-'8b- LIAB'!K237+'9a-Assets'!O213</f>
        <v>962726.3644103701</v>
      </c>
      <c r="G250" s="192">
        <v>211293</v>
      </c>
      <c r="H250" s="192">
        <v>953879</v>
      </c>
      <c r="I250" s="192">
        <v>5005</v>
      </c>
      <c r="J250" s="192">
        <v>43655</v>
      </c>
      <c r="K250" s="192">
        <v>0</v>
      </c>
      <c r="L250" s="192">
        <v>1395788</v>
      </c>
      <c r="M250" s="192">
        <v>1906096</v>
      </c>
      <c r="N250" s="192">
        <f t="shared" si="22"/>
        <v>3301884</v>
      </c>
      <c r="O250" s="192">
        <v>2328</v>
      </c>
      <c r="P250" s="192">
        <v>36410</v>
      </c>
      <c r="Q250" s="192">
        <v>1469284</v>
      </c>
      <c r="R250" s="192">
        <v>-233179</v>
      </c>
      <c r="S250" s="89" t="s">
        <v>29</v>
      </c>
    </row>
    <row r="251" spans="1:19" s="227" customFormat="1" ht="12.75">
      <c r="A251" s="89" t="s">
        <v>30</v>
      </c>
      <c r="B251" s="96">
        <f t="shared" si="20"/>
        <v>2482144</v>
      </c>
      <c r="C251" s="96">
        <f>1859294-498874</f>
        <v>1360420</v>
      </c>
      <c r="D251" s="96">
        <f>1139499-17775</f>
        <v>1121724</v>
      </c>
      <c r="E251" s="96">
        <f t="shared" si="21"/>
        <v>2192258.8248301297</v>
      </c>
      <c r="F251" s="96">
        <f>'8a- Assets'!F232-'8b- LIAB'!K238+'9a-Assets'!O214</f>
        <v>940592.82483013</v>
      </c>
      <c r="G251" s="192">
        <v>214923</v>
      </c>
      <c r="H251" s="192">
        <v>987877</v>
      </c>
      <c r="I251" s="192">
        <v>5004</v>
      </c>
      <c r="J251" s="192">
        <v>43862</v>
      </c>
      <c r="K251" s="192">
        <v>0</v>
      </c>
      <c r="L251" s="192">
        <v>1402437</v>
      </c>
      <c r="M251" s="192">
        <v>1921113</v>
      </c>
      <c r="N251" s="192">
        <f t="shared" si="22"/>
        <v>3323550</v>
      </c>
      <c r="O251" s="192">
        <v>852</v>
      </c>
      <c r="P251" s="192">
        <v>36410</v>
      </c>
      <c r="Q251" s="192">
        <v>1461102</v>
      </c>
      <c r="R251" s="192">
        <v>-147511</v>
      </c>
      <c r="S251" s="89" t="s">
        <v>30</v>
      </c>
    </row>
    <row r="252" spans="1:19" s="126" customFormat="1" ht="12.75">
      <c r="A252" s="89" t="s">
        <v>31</v>
      </c>
      <c r="B252" s="96">
        <f t="shared" si="20"/>
        <v>2538053</v>
      </c>
      <c r="C252" s="96">
        <f>1861245-503588</f>
        <v>1357657</v>
      </c>
      <c r="D252" s="96">
        <f>1197993-17597</f>
        <v>1180396</v>
      </c>
      <c r="E252" s="96">
        <f t="shared" si="21"/>
        <v>2312848.04740914</v>
      </c>
      <c r="F252" s="96">
        <f>'8a- Assets'!F233-'8b- LIAB'!K239+'9a-Assets'!O215</f>
        <v>1072870.04740914</v>
      </c>
      <c r="G252" s="192">
        <v>215463</v>
      </c>
      <c r="H252" s="192">
        <v>974832</v>
      </c>
      <c r="I252" s="192">
        <v>5004</v>
      </c>
      <c r="J252" s="192">
        <v>44679</v>
      </c>
      <c r="K252" s="192">
        <v>0</v>
      </c>
      <c r="L252" s="192">
        <v>1399381</v>
      </c>
      <c r="M252" s="192">
        <v>1999241</v>
      </c>
      <c r="N252" s="192">
        <f t="shared" si="22"/>
        <v>3398622</v>
      </c>
      <c r="O252" s="192">
        <v>735</v>
      </c>
      <c r="P252" s="192">
        <v>36410</v>
      </c>
      <c r="Q252" s="192">
        <v>1502656</v>
      </c>
      <c r="R252" s="192">
        <v>-87522</v>
      </c>
      <c r="S252" s="89" t="s">
        <v>31</v>
      </c>
    </row>
    <row r="253" spans="1:19" s="183" customFormat="1" ht="12.75">
      <c r="A253" s="89" t="s">
        <v>32</v>
      </c>
      <c r="B253" s="96">
        <f t="shared" si="20"/>
        <v>2510660</v>
      </c>
      <c r="C253" s="96">
        <f>1887613-509048</f>
        <v>1378565</v>
      </c>
      <c r="D253" s="96">
        <f>1148759-16664</f>
        <v>1132095</v>
      </c>
      <c r="E253" s="96">
        <f t="shared" si="21"/>
        <v>2357093</v>
      </c>
      <c r="F253" s="96">
        <f>'8a- Assets'!F234-'8b- LIAB'!K240+'9a-Assets'!O216</f>
        <v>1094042</v>
      </c>
      <c r="G253" s="192">
        <v>212642</v>
      </c>
      <c r="H253" s="192">
        <v>993973</v>
      </c>
      <c r="I253" s="192">
        <v>5004</v>
      </c>
      <c r="J253" s="192">
        <v>51432</v>
      </c>
      <c r="K253" s="192">
        <v>0</v>
      </c>
      <c r="L253" s="192">
        <v>1362128</v>
      </c>
      <c r="M253" s="192">
        <v>2010868</v>
      </c>
      <c r="N253" s="192">
        <f t="shared" si="22"/>
        <v>3372996</v>
      </c>
      <c r="O253" s="192">
        <v>1033</v>
      </c>
      <c r="P253" s="192">
        <v>36436</v>
      </c>
      <c r="Q253" s="192">
        <v>1509363</v>
      </c>
      <c r="R253" s="192">
        <v>-52072</v>
      </c>
      <c r="S253" s="89" t="s">
        <v>32</v>
      </c>
    </row>
    <row r="254" spans="1:19" ht="12.75">
      <c r="A254" s="89" t="s">
        <v>33</v>
      </c>
      <c r="B254" s="96">
        <f t="shared" si="20"/>
        <v>2472217</v>
      </c>
      <c r="C254" s="96">
        <f>1880682-531293</f>
        <v>1349389</v>
      </c>
      <c r="D254" s="96">
        <f>1139632-16804</f>
        <v>1122828</v>
      </c>
      <c r="E254" s="96">
        <f t="shared" si="21"/>
        <v>2422001</v>
      </c>
      <c r="F254" s="96">
        <f>'8a- Assets'!F235-'8b- LIAB'!K241+'9a-Assets'!O217</f>
        <v>1149652</v>
      </c>
      <c r="G254" s="192">
        <v>212814</v>
      </c>
      <c r="H254" s="192">
        <v>1004632</v>
      </c>
      <c r="I254" s="192">
        <v>4974</v>
      </c>
      <c r="J254" s="192">
        <v>49929</v>
      </c>
      <c r="K254" s="192">
        <v>0</v>
      </c>
      <c r="L254" s="192">
        <v>1407921</v>
      </c>
      <c r="M254" s="192">
        <v>1979923</v>
      </c>
      <c r="N254" s="192">
        <f t="shared" si="22"/>
        <v>3387844</v>
      </c>
      <c r="O254" s="192">
        <v>2061</v>
      </c>
      <c r="P254" s="192">
        <v>36489</v>
      </c>
      <c r="Q254" s="192">
        <v>1526022</v>
      </c>
      <c r="R254" s="192">
        <v>-58199</v>
      </c>
      <c r="S254" s="89" t="s">
        <v>33</v>
      </c>
    </row>
    <row r="255" spans="1:19" ht="12.75">
      <c r="A255" s="89" t="s">
        <v>35</v>
      </c>
      <c r="B255" s="96">
        <f t="shared" si="20"/>
        <v>2480247</v>
      </c>
      <c r="C255" s="96">
        <f>1942053-582695</f>
        <v>1359358</v>
      </c>
      <c r="D255" s="96">
        <f>1137704-16815</f>
        <v>1120889</v>
      </c>
      <c r="E255" s="96">
        <f t="shared" si="21"/>
        <v>2520690</v>
      </c>
      <c r="F255" s="96">
        <f>'8a- Assets'!F236-'8b- LIAB'!K242+'9a-Assets'!O218</f>
        <v>1236513</v>
      </c>
      <c r="G255" s="192">
        <v>214386</v>
      </c>
      <c r="H255" s="192">
        <v>1011705</v>
      </c>
      <c r="I255" s="192">
        <v>4962</v>
      </c>
      <c r="J255" s="192">
        <v>53124</v>
      </c>
      <c r="K255" s="192">
        <v>0</v>
      </c>
      <c r="L255" s="192">
        <v>1433095</v>
      </c>
      <c r="M255" s="192">
        <v>2004564</v>
      </c>
      <c r="N255" s="192">
        <f t="shared" si="22"/>
        <v>3437659</v>
      </c>
      <c r="O255" s="192">
        <v>2249</v>
      </c>
      <c r="P255" s="192">
        <v>36537</v>
      </c>
      <c r="Q255" s="192">
        <v>1535557</v>
      </c>
      <c r="R255" s="192">
        <v>-11064</v>
      </c>
      <c r="S255" s="89" t="s">
        <v>35</v>
      </c>
    </row>
    <row r="256" spans="1:19" ht="12.75">
      <c r="A256" s="89" t="s">
        <v>36</v>
      </c>
      <c r="B256" s="96">
        <f>C256+D256</f>
        <v>2537721</v>
      </c>
      <c r="C256" s="96">
        <f>1947776-572558</f>
        <v>1375218</v>
      </c>
      <c r="D256" s="96">
        <f>1179503-17000</f>
        <v>1162503</v>
      </c>
      <c r="E256" s="96">
        <f>SUM(F256:J256)</f>
        <v>2563096</v>
      </c>
      <c r="F256" s="96">
        <f>'8a- Assets'!F237-'8b- LIAB'!K243+'9a-Assets'!O219</f>
        <v>1279635</v>
      </c>
      <c r="G256" s="192">
        <v>209967</v>
      </c>
      <c r="H256" s="192">
        <v>1016888</v>
      </c>
      <c r="I256" s="192">
        <v>4962</v>
      </c>
      <c r="J256" s="192">
        <v>51644</v>
      </c>
      <c r="K256" s="192">
        <v>0</v>
      </c>
      <c r="L256" s="192">
        <v>1482863</v>
      </c>
      <c r="M256" s="192">
        <v>2042369</v>
      </c>
      <c r="N256" s="192">
        <f t="shared" si="22"/>
        <v>3525232</v>
      </c>
      <c r="O256" s="192">
        <v>2008</v>
      </c>
      <c r="P256" s="192">
        <v>36706</v>
      </c>
      <c r="Q256" s="192">
        <v>1558368</v>
      </c>
      <c r="R256" s="192">
        <v>-21498</v>
      </c>
      <c r="S256" s="89" t="s">
        <v>36</v>
      </c>
    </row>
    <row r="257" spans="1:19" s="189" customFormat="1" ht="12.75">
      <c r="A257" s="89" t="s">
        <v>37</v>
      </c>
      <c r="B257" s="96">
        <f>C257+D257</f>
        <v>2831325</v>
      </c>
      <c r="C257" s="96">
        <v>1525588</v>
      </c>
      <c r="D257" s="96">
        <f>1320984-15247</f>
        <v>1305737</v>
      </c>
      <c r="E257" s="96">
        <f>SUM(F257:J257)</f>
        <v>2391240</v>
      </c>
      <c r="F257" s="96">
        <f>'8a- Assets'!F238-'8b- LIAB'!K244+'9a-Assets'!O220</f>
        <v>1144897</v>
      </c>
      <c r="G257" s="192">
        <v>200060</v>
      </c>
      <c r="H257" s="192">
        <v>1001358</v>
      </c>
      <c r="I257" s="192">
        <v>4962</v>
      </c>
      <c r="J257" s="192">
        <v>39963</v>
      </c>
      <c r="K257" s="192">
        <v>0</v>
      </c>
      <c r="L257" s="192">
        <v>1552616</v>
      </c>
      <c r="M257" s="192">
        <v>2168696</v>
      </c>
      <c r="N257" s="192">
        <f t="shared" si="22"/>
        <v>3721312</v>
      </c>
      <c r="O257" s="192">
        <v>2768</v>
      </c>
      <c r="P257" s="192">
        <v>36660</v>
      </c>
      <c r="Q257" s="192">
        <v>1558198</v>
      </c>
      <c r="R257" s="192">
        <v>-64584</v>
      </c>
      <c r="S257" s="89" t="s">
        <v>37</v>
      </c>
    </row>
    <row r="258" spans="2:18" ht="12.75">
      <c r="B258" s="96"/>
      <c r="C258" s="96"/>
      <c r="D258" s="96"/>
      <c r="E258" s="96"/>
      <c r="F258" s="96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</row>
    <row r="259" spans="2:18" ht="12.75">
      <c r="B259" s="96"/>
      <c r="C259" s="96"/>
      <c r="D259" s="96"/>
      <c r="E259" s="96"/>
      <c r="F259" s="96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</row>
    <row r="260" spans="1:19" ht="12.75">
      <c r="A260" s="43">
        <v>2014</v>
      </c>
      <c r="B260" s="96"/>
      <c r="C260" s="96"/>
      <c r="D260" s="96"/>
      <c r="E260" s="96"/>
      <c r="F260" s="96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43">
        <v>2014</v>
      </c>
    </row>
    <row r="261" spans="1:19" ht="12.75">
      <c r="A261" s="43" t="s">
        <v>25</v>
      </c>
      <c r="B261" s="96">
        <f aca="true" t="shared" si="23" ref="B261:B272">C261+D261</f>
        <v>2762040</v>
      </c>
      <c r="C261" s="96">
        <f>2094333-551434</f>
        <v>1542899</v>
      </c>
      <c r="D261" s="96">
        <f>1233381-14240</f>
        <v>1219141</v>
      </c>
      <c r="E261" s="96">
        <f aca="true" t="shared" si="24" ref="E261:E271">SUM(F261:J261)</f>
        <v>2412250.7883868</v>
      </c>
      <c r="F261" s="96">
        <f>'8a- Assets'!F241-'8b- LIAB'!K247+'9a-Assets'!O224</f>
        <v>1156592.7883867999</v>
      </c>
      <c r="G261" s="192">
        <v>200662</v>
      </c>
      <c r="H261" s="192">
        <v>1007631</v>
      </c>
      <c r="I261" s="192">
        <v>4962</v>
      </c>
      <c r="J261" s="192">
        <v>42403</v>
      </c>
      <c r="K261" s="192">
        <v>0</v>
      </c>
      <c r="L261" s="192">
        <v>1620956</v>
      </c>
      <c r="M261" s="192">
        <v>2058472</v>
      </c>
      <c r="N261" s="192">
        <f aca="true" t="shared" si="25" ref="N261:N272">L261+M261</f>
        <v>3679428</v>
      </c>
      <c r="O261" s="192">
        <v>2578</v>
      </c>
      <c r="P261" s="192">
        <v>36496</v>
      </c>
      <c r="Q261" s="192">
        <v>1546147</v>
      </c>
      <c r="R261" s="192">
        <v>-157331</v>
      </c>
      <c r="S261" s="43" t="s">
        <v>25</v>
      </c>
    </row>
    <row r="262" spans="1:19" ht="12.75">
      <c r="A262" s="43" t="s">
        <v>26</v>
      </c>
      <c r="B262" s="96">
        <f t="shared" si="23"/>
        <v>2787706</v>
      </c>
      <c r="C262" s="96">
        <f>2099010-545695</f>
        <v>1553315</v>
      </c>
      <c r="D262" s="96">
        <f>1248687-14296</f>
        <v>1234391</v>
      </c>
      <c r="E262" s="96">
        <f t="shared" si="24"/>
        <v>2530616.24807838</v>
      </c>
      <c r="F262" s="96">
        <f>'8a- Assets'!F242-'8b- LIAB'!K248+'9a-Assets'!O225</f>
        <v>1267180.24807838</v>
      </c>
      <c r="G262" s="192">
        <v>198908</v>
      </c>
      <c r="H262" s="192">
        <v>1010126</v>
      </c>
      <c r="I262" s="192">
        <v>4962</v>
      </c>
      <c r="J262" s="192">
        <v>49440</v>
      </c>
      <c r="K262" s="192">
        <v>0</v>
      </c>
      <c r="L262" s="192">
        <v>1694557</v>
      </c>
      <c r="M262" s="192">
        <v>2107845</v>
      </c>
      <c r="N262" s="192">
        <f t="shared" si="25"/>
        <v>3802402</v>
      </c>
      <c r="O262" s="192">
        <v>8223</v>
      </c>
      <c r="P262" s="192">
        <v>36678</v>
      </c>
      <c r="Q262" s="192">
        <v>1556318</v>
      </c>
      <c r="R262" s="192">
        <v>-98465</v>
      </c>
      <c r="S262" s="43" t="s">
        <v>26</v>
      </c>
    </row>
    <row r="263" spans="1:19" ht="12.75">
      <c r="A263" s="43" t="s">
        <v>27</v>
      </c>
      <c r="B263" s="96">
        <f t="shared" si="23"/>
        <v>2753671</v>
      </c>
      <c r="C263" s="96">
        <f>2142761-556837</f>
        <v>1585924</v>
      </c>
      <c r="D263" s="96">
        <f>1182024-14277</f>
        <v>1167747</v>
      </c>
      <c r="E263" s="96">
        <f t="shared" si="24"/>
        <v>2468113.064286734</v>
      </c>
      <c r="F263" s="96">
        <f>'8a- Assets'!F243-'8b- LIAB'!K249+'9a-Assets'!O226</f>
        <v>1226127.064286734</v>
      </c>
      <c r="G263" s="192">
        <v>198262</v>
      </c>
      <c r="H263" s="192">
        <v>998190</v>
      </c>
      <c r="I263" s="192">
        <v>4962</v>
      </c>
      <c r="J263" s="192">
        <v>40572</v>
      </c>
      <c r="K263" s="192">
        <v>0</v>
      </c>
      <c r="L263" s="192">
        <v>1719093</v>
      </c>
      <c r="M263" s="192">
        <v>2019362.594532347</v>
      </c>
      <c r="N263" s="192">
        <f t="shared" si="25"/>
        <v>3738455.5945323473</v>
      </c>
      <c r="O263" s="192">
        <v>5819</v>
      </c>
      <c r="P263" s="192">
        <v>36690</v>
      </c>
      <c r="Q263" s="192">
        <v>1567561</v>
      </c>
      <c r="R263" s="192">
        <v>-105785</v>
      </c>
      <c r="S263" s="43" t="s">
        <v>27</v>
      </c>
    </row>
    <row r="264" spans="1:19" ht="12.75">
      <c r="A264" s="43" t="s">
        <v>28</v>
      </c>
      <c r="B264" s="96">
        <f t="shared" si="23"/>
        <v>2693019</v>
      </c>
      <c r="C264" s="96">
        <f>2167255-558888</f>
        <v>1608367</v>
      </c>
      <c r="D264" s="100">
        <f>1099017-14365</f>
        <v>1084652</v>
      </c>
      <c r="E264" s="96">
        <f t="shared" si="24"/>
        <v>2544961.8880796833</v>
      </c>
      <c r="F264" s="96">
        <f>'8a- Assets'!F244-'8b- LIAB'!K250+'9a-Assets'!O227</f>
        <v>1295299.8880796833</v>
      </c>
      <c r="G264" s="192">
        <v>199115</v>
      </c>
      <c r="H264" s="192">
        <v>1003170</v>
      </c>
      <c r="I264" s="192">
        <v>4962</v>
      </c>
      <c r="J264" s="192">
        <v>42415</v>
      </c>
      <c r="K264" s="192">
        <v>0</v>
      </c>
      <c r="L264" s="154">
        <v>1764280.249024493</v>
      </c>
      <c r="M264" s="154">
        <v>1997717.2542282608</v>
      </c>
      <c r="N264" s="192">
        <f t="shared" si="25"/>
        <v>3761997.503252754</v>
      </c>
      <c r="O264" s="154">
        <v>6078.39990198</v>
      </c>
      <c r="P264" s="154">
        <v>36710.63453829</v>
      </c>
      <c r="Q264" s="154">
        <v>1568826.1747946246</v>
      </c>
      <c r="R264" s="154">
        <v>-102583.35254097474</v>
      </c>
      <c r="S264" s="43" t="s">
        <v>28</v>
      </c>
    </row>
    <row r="265" spans="1:19" ht="12.75">
      <c r="A265" s="43" t="s">
        <v>29</v>
      </c>
      <c r="B265" s="96">
        <f t="shared" si="23"/>
        <v>2750978</v>
      </c>
      <c r="C265" s="96">
        <f>2225868-552741</f>
        <v>1673127</v>
      </c>
      <c r="D265" s="100">
        <f>1092216-14365</f>
        <v>1077851</v>
      </c>
      <c r="E265" s="96">
        <f>SUM(F265:J265)</f>
        <v>2597857.1410200167</v>
      </c>
      <c r="F265" s="96">
        <f>'8a- Assets'!F245-'8b- LIAB'!K251+'9a-Assets'!O228</f>
        <v>1366012.1410200165</v>
      </c>
      <c r="G265" s="192">
        <v>195297</v>
      </c>
      <c r="H265" s="154">
        <v>989820</v>
      </c>
      <c r="I265" s="192">
        <v>4962</v>
      </c>
      <c r="J265" s="192">
        <v>41766</v>
      </c>
      <c r="K265" s="192">
        <v>0</v>
      </c>
      <c r="L265" s="154">
        <v>1792373.0594939084</v>
      </c>
      <c r="M265" s="154">
        <v>1985444.5777581267</v>
      </c>
      <c r="N265" s="192">
        <f t="shared" si="25"/>
        <v>3777817.637252035</v>
      </c>
      <c r="O265" s="154">
        <v>7161.458896980001</v>
      </c>
      <c r="P265" s="154">
        <v>36747.91374383</v>
      </c>
      <c r="Q265" s="154">
        <v>1617796.5043708477</v>
      </c>
      <c r="R265" s="154">
        <v>-99048.50616047299</v>
      </c>
      <c r="S265" s="43" t="s">
        <v>29</v>
      </c>
    </row>
    <row r="266" spans="1:19" ht="12.75">
      <c r="A266" s="43" t="s">
        <v>30</v>
      </c>
      <c r="B266" s="96">
        <f t="shared" si="23"/>
        <v>2908710</v>
      </c>
      <c r="C266" s="250">
        <f>2229454-542359</f>
        <v>1687095</v>
      </c>
      <c r="D266" s="100">
        <f>1234303-12688</f>
        <v>1221615</v>
      </c>
      <c r="E266" s="96">
        <f t="shared" si="24"/>
        <v>2674840.165498687</v>
      </c>
      <c r="F266" s="96">
        <f>'8a- Assets'!F246-'8b- LIAB'!K252+'9a-Assets'!O229</f>
        <v>1411976.165498687</v>
      </c>
      <c r="G266" s="154">
        <v>191429</v>
      </c>
      <c r="H266" s="154">
        <v>1020849</v>
      </c>
      <c r="I266" s="192">
        <v>4962</v>
      </c>
      <c r="J266" s="192">
        <v>45624</v>
      </c>
      <c r="K266" s="192">
        <v>0</v>
      </c>
      <c r="L266" s="154">
        <v>1792141.9797240307</v>
      </c>
      <c r="M266" s="154">
        <v>2125753.2491245796</v>
      </c>
      <c r="N266" s="192">
        <f t="shared" si="25"/>
        <v>3917895.22884861</v>
      </c>
      <c r="O266" s="154">
        <v>7722.972254480001</v>
      </c>
      <c r="P266" s="154">
        <v>37081.74355954</v>
      </c>
      <c r="Q266" s="154">
        <v>1626265.678126641</v>
      </c>
      <c r="R266" s="154">
        <v>-43435.16210373199</v>
      </c>
      <c r="S266" s="43" t="s">
        <v>30</v>
      </c>
    </row>
    <row r="267" spans="1:19" ht="12.75">
      <c r="A267" s="43" t="s">
        <v>31</v>
      </c>
      <c r="B267" s="96">
        <f t="shared" si="23"/>
        <v>2892983</v>
      </c>
      <c r="C267" s="96">
        <f>2313004-607180</f>
        <v>1705824</v>
      </c>
      <c r="D267" s="100">
        <f>1199842-12683</f>
        <v>1187159</v>
      </c>
      <c r="E267" s="96">
        <f t="shared" si="24"/>
        <v>2754918</v>
      </c>
      <c r="F267" s="96">
        <f>'8a- Assets'!F247-'8b- LIAB'!K253+'9a-Assets'!O230</f>
        <v>1467164</v>
      </c>
      <c r="G267" s="154">
        <v>190934</v>
      </c>
      <c r="H267" s="154">
        <v>1047244</v>
      </c>
      <c r="I267" s="192">
        <v>4962</v>
      </c>
      <c r="J267" s="192">
        <v>44614</v>
      </c>
      <c r="K267" s="192">
        <v>0</v>
      </c>
      <c r="L267" s="154">
        <v>1889750</v>
      </c>
      <c r="M267" s="154">
        <v>2061119</v>
      </c>
      <c r="N267" s="192">
        <f t="shared" si="25"/>
        <v>3950869</v>
      </c>
      <c r="O267" s="154">
        <v>6983</v>
      </c>
      <c r="P267" s="154">
        <v>37854</v>
      </c>
      <c r="Q267" s="154">
        <v>1661027</v>
      </c>
      <c r="R267" s="154">
        <v>-34301</v>
      </c>
      <c r="S267" s="43" t="s">
        <v>31</v>
      </c>
    </row>
    <row r="268" spans="1:19" ht="12.75">
      <c r="A268" s="43" t="s">
        <v>32</v>
      </c>
      <c r="B268" s="96">
        <f t="shared" si="23"/>
        <v>2900623</v>
      </c>
      <c r="C268" s="96">
        <f>2350252-612628</f>
        <v>1737624</v>
      </c>
      <c r="D268" s="100">
        <f>1175064-12065</f>
        <v>1162999</v>
      </c>
      <c r="E268" s="96">
        <f t="shared" si="24"/>
        <v>2848007</v>
      </c>
      <c r="F268" s="96">
        <f>'8a- Assets'!F248-'8b- LIAB'!K254+'9a-Assets'!O231</f>
        <v>1538280</v>
      </c>
      <c r="G268" s="154">
        <v>196425</v>
      </c>
      <c r="H268" s="154">
        <v>1063182</v>
      </c>
      <c r="I268" s="192">
        <v>4962</v>
      </c>
      <c r="J268" s="192">
        <v>45158</v>
      </c>
      <c r="K268" s="192">
        <v>0</v>
      </c>
      <c r="L268" s="154">
        <v>1902577</v>
      </c>
      <c r="M268" s="154">
        <v>2072226</v>
      </c>
      <c r="N268" s="192">
        <f t="shared" si="25"/>
        <v>3974803</v>
      </c>
      <c r="O268" s="154">
        <v>15117</v>
      </c>
      <c r="P268" s="154">
        <v>38493</v>
      </c>
      <c r="Q268" s="154">
        <v>1702402</v>
      </c>
      <c r="R268" s="154">
        <v>-29364</v>
      </c>
      <c r="S268" s="43" t="s">
        <v>32</v>
      </c>
    </row>
    <row r="269" spans="1:19" ht="12.75">
      <c r="A269" s="43" t="s">
        <v>33</v>
      </c>
      <c r="B269" s="96">
        <f t="shared" si="23"/>
        <v>2862323</v>
      </c>
      <c r="C269" s="96">
        <f>2321955-619557</f>
        <v>1702398</v>
      </c>
      <c r="D269" s="100">
        <f>1172159-12234</f>
        <v>1159925</v>
      </c>
      <c r="E269" s="96">
        <f t="shared" si="24"/>
        <v>2889582</v>
      </c>
      <c r="F269" s="96">
        <f>'8a- Assets'!F249-'8b- LIAB'!K255+'9a-Assets'!O232</f>
        <v>1594600</v>
      </c>
      <c r="G269" s="154">
        <v>199458</v>
      </c>
      <c r="H269" s="154">
        <v>1042487</v>
      </c>
      <c r="I269" s="192">
        <v>4962</v>
      </c>
      <c r="J269" s="192">
        <v>48075</v>
      </c>
      <c r="K269" s="192">
        <v>0</v>
      </c>
      <c r="L269" s="154">
        <v>1846086</v>
      </c>
      <c r="M269" s="154">
        <v>2127255</v>
      </c>
      <c r="N269" s="192">
        <f t="shared" si="25"/>
        <v>3973341</v>
      </c>
      <c r="O269" s="154">
        <v>16104</v>
      </c>
      <c r="P269" s="154">
        <v>39580</v>
      </c>
      <c r="Q269" s="154">
        <v>1754279</v>
      </c>
      <c r="R269" s="154">
        <v>-68722</v>
      </c>
      <c r="S269" s="43" t="s">
        <v>33</v>
      </c>
    </row>
    <row r="270" spans="1:19" ht="12.75">
      <c r="A270" s="43" t="s">
        <v>35</v>
      </c>
      <c r="B270" s="96">
        <f t="shared" si="23"/>
        <v>2992409.1765670134</v>
      </c>
      <c r="C270" s="96">
        <v>1814704.5747691467</v>
      </c>
      <c r="D270" s="100">
        <v>1177704.6017978664</v>
      </c>
      <c r="E270" s="96">
        <f t="shared" si="24"/>
        <v>2969434.9702724684</v>
      </c>
      <c r="F270" s="96">
        <f>'8a- Assets'!F250-'8b- LIAB'!K256+'9a-Assets'!O233</f>
        <v>1691290.8172534509</v>
      </c>
      <c r="G270" s="154">
        <v>195593.02302197999</v>
      </c>
      <c r="H270" s="154">
        <v>1036884.1238474081</v>
      </c>
      <c r="I270" s="192">
        <v>4962.083454</v>
      </c>
      <c r="J270" s="192">
        <v>40704.92269563</v>
      </c>
      <c r="K270" s="192">
        <v>0</v>
      </c>
      <c r="L270" s="154">
        <v>1906499.5457198115</v>
      </c>
      <c r="M270" s="154">
        <v>2146221.128714275</v>
      </c>
      <c r="N270" s="192">
        <f t="shared" si="25"/>
        <v>4052720.6744340863</v>
      </c>
      <c r="O270" s="154">
        <v>8000.62175948</v>
      </c>
      <c r="P270" s="154">
        <v>40152.77590006</v>
      </c>
      <c r="Q270" s="154">
        <v>1797787.1807227903</v>
      </c>
      <c r="R270" s="154">
        <v>-76076.42715812084</v>
      </c>
      <c r="S270" s="43" t="s">
        <v>35</v>
      </c>
    </row>
    <row r="271" spans="1:19" ht="12.75">
      <c r="A271" s="43" t="s">
        <v>36</v>
      </c>
      <c r="B271" s="96">
        <f t="shared" si="23"/>
        <v>2917520.500785402</v>
      </c>
      <c r="C271" s="96">
        <v>1748279.217927494</v>
      </c>
      <c r="D271" s="100">
        <v>1169241.282857908</v>
      </c>
      <c r="E271" s="96">
        <f t="shared" si="24"/>
        <v>3106834.8810057733</v>
      </c>
      <c r="F271" s="96">
        <f>'8a- Assets'!F251-'8b- LIAB'!K257+'9a-Assets'!O234</f>
        <v>1804500.6278977818</v>
      </c>
      <c r="G271" s="154">
        <v>199294.08616595</v>
      </c>
      <c r="H271" s="154">
        <v>1057827.677761062</v>
      </c>
      <c r="I271" s="192">
        <v>4989.336497599999</v>
      </c>
      <c r="J271" s="192">
        <v>40223.152683379</v>
      </c>
      <c r="K271" s="192">
        <v>0</v>
      </c>
      <c r="L271" s="154">
        <v>1908296.8346907555</v>
      </c>
      <c r="M271" s="154">
        <v>2164747.9931016685</v>
      </c>
      <c r="N271" s="192">
        <f t="shared" si="25"/>
        <v>4073044.827792424</v>
      </c>
      <c r="O271" s="154">
        <v>5853.24800948</v>
      </c>
      <c r="P271" s="154">
        <v>41105.499433879995</v>
      </c>
      <c r="Q271" s="154">
        <v>1845354.2782716162</v>
      </c>
      <c r="R271" s="154">
        <v>-97330.79429316008</v>
      </c>
      <c r="S271" s="43" t="s">
        <v>36</v>
      </c>
    </row>
    <row r="272" spans="1:19" s="298" customFormat="1" ht="12.75">
      <c r="A272" s="263" t="s">
        <v>37</v>
      </c>
      <c r="B272" s="277">
        <f t="shared" si="23"/>
        <v>3253757.184827216</v>
      </c>
      <c r="C272" s="277">
        <v>1958410.9504775295</v>
      </c>
      <c r="D272" s="266">
        <v>1295346.2343496867</v>
      </c>
      <c r="E272" s="277">
        <v>3747415.399562004</v>
      </c>
      <c r="F272" s="277">
        <f>'8a- Assets'!F252-'8b- LIAB'!K258+'9a-Assets'!O235</f>
        <v>1938941.7327209297</v>
      </c>
      <c r="G272" s="278">
        <v>199242.43577254002</v>
      </c>
      <c r="H272" s="278">
        <v>1056845.285563494</v>
      </c>
      <c r="I272" s="278">
        <v>0</v>
      </c>
      <c r="J272" s="278">
        <v>41818.10943824</v>
      </c>
      <c r="K272" s="278">
        <v>0</v>
      </c>
      <c r="L272" s="278">
        <v>2051629.6307639335</v>
      </c>
      <c r="M272" s="278">
        <v>2877469.772027474</v>
      </c>
      <c r="N272" s="278">
        <f t="shared" si="25"/>
        <v>4929099.402791407</v>
      </c>
      <c r="O272" s="278">
        <v>7047.72464148</v>
      </c>
      <c r="P272" s="278">
        <v>41683.20089214</v>
      </c>
      <c r="Q272" s="278">
        <v>1954692.1701096832</v>
      </c>
      <c r="R272" s="278">
        <v>68650.08595469169</v>
      </c>
      <c r="S272" s="263" t="s">
        <v>37</v>
      </c>
    </row>
    <row r="274" spans="1:19" ht="12.75">
      <c r="A274" s="43">
        <v>2015</v>
      </c>
      <c r="S274" s="43">
        <v>2015</v>
      </c>
    </row>
    <row r="275" spans="1:19" ht="12.75">
      <c r="A275" s="43" t="s">
        <v>25</v>
      </c>
      <c r="B275" s="96">
        <f aca="true" t="shared" si="26" ref="B275:B286">C275+D275</f>
        <v>3167230.4504323946</v>
      </c>
      <c r="C275" s="100">
        <v>1866478.1569045503</v>
      </c>
      <c r="D275" s="100">
        <v>1300752.2935278444</v>
      </c>
      <c r="E275" s="96">
        <v>3752845.3262886135</v>
      </c>
      <c r="F275" s="96">
        <f>'8a- Assets'!F255-'8b- LIAB'!K261+'9a-Assets'!O238</f>
        <v>1947867.7512918299</v>
      </c>
      <c r="G275" s="128">
        <v>198724.93304044</v>
      </c>
      <c r="H275" s="128">
        <v>1055720.9162352537</v>
      </c>
      <c r="I275" s="128">
        <v>0</v>
      </c>
      <c r="J275" s="128">
        <v>39963.889654290026</v>
      </c>
      <c r="K275" s="128">
        <v>0</v>
      </c>
      <c r="L275" s="128">
        <v>2088677.8581551833</v>
      </c>
      <c r="M275" s="128">
        <v>2790360.7425094354</v>
      </c>
      <c r="N275" s="192">
        <f>L275+M275</f>
        <v>4879038.600664618</v>
      </c>
      <c r="O275" s="128">
        <v>6708.553178980001</v>
      </c>
      <c r="P275" s="128">
        <v>41440.29699421</v>
      </c>
      <c r="Q275" s="128">
        <v>1907344.823343946</v>
      </c>
      <c r="R275" s="128">
        <v>85544.50162370206</v>
      </c>
      <c r="S275" s="43" t="s">
        <v>25</v>
      </c>
    </row>
    <row r="276" spans="1:19" ht="12.75">
      <c r="A276" s="43" t="s">
        <v>26</v>
      </c>
      <c r="B276" s="96">
        <f t="shared" si="26"/>
        <v>3075289.83971793</v>
      </c>
      <c r="C276" s="100">
        <v>1772653.3830840418</v>
      </c>
      <c r="D276" s="100">
        <v>1302636.4566338884</v>
      </c>
      <c r="E276" s="96">
        <v>3816891.3156551747</v>
      </c>
      <c r="F276" s="96">
        <f>'8a- Assets'!F256-'8b- LIAB'!K262+'9a-Assets'!O239</f>
        <v>2032712.9672927</v>
      </c>
      <c r="G276" s="128">
        <v>195377.92985142</v>
      </c>
      <c r="H276" s="128">
        <v>1033925.0729809545</v>
      </c>
      <c r="I276" s="128">
        <v>0</v>
      </c>
      <c r="J276" s="128">
        <v>44307.5094633</v>
      </c>
      <c r="K276" s="128">
        <v>0</v>
      </c>
      <c r="L276" s="128">
        <v>2074104.2301177261</v>
      </c>
      <c r="M276" s="128">
        <v>2801717.5362594724</v>
      </c>
      <c r="N276" s="192">
        <f>L276+M276</f>
        <v>4875821.7663771985</v>
      </c>
      <c r="O276" s="128">
        <v>7952.43284148</v>
      </c>
      <c r="P276" s="128">
        <v>41165.415448199994</v>
      </c>
      <c r="Q276" s="128">
        <v>1910832.0617038729</v>
      </c>
      <c r="R276" s="128">
        <v>56409.47900232016</v>
      </c>
      <c r="S276" s="43" t="s">
        <v>26</v>
      </c>
    </row>
    <row r="277" spans="1:19" ht="12.75">
      <c r="A277" s="43" t="s">
        <v>27</v>
      </c>
      <c r="B277" s="96">
        <f t="shared" si="26"/>
        <v>3167569.784493589</v>
      </c>
      <c r="C277" s="100">
        <v>1855870.6451149425</v>
      </c>
      <c r="D277" s="100">
        <v>1311699.1393786464</v>
      </c>
      <c r="E277" s="96">
        <v>3881637.2507203664</v>
      </c>
      <c r="F277" s="96">
        <f>'8a- Assets'!F257-'8b- LIAB'!K263+'9a-Assets'!O240</f>
        <v>2081500.7818562002</v>
      </c>
      <c r="G277" s="128">
        <v>190280.42027824</v>
      </c>
      <c r="H277" s="128">
        <v>1056790.4421274064</v>
      </c>
      <c r="I277" s="128">
        <v>0</v>
      </c>
      <c r="J277" s="128">
        <v>42497.77039172</v>
      </c>
      <c r="K277" s="128">
        <v>0</v>
      </c>
      <c r="L277" s="128">
        <v>2150602.6410477795</v>
      </c>
      <c r="M277" s="128">
        <v>2794792.22284275</v>
      </c>
      <c r="N277" s="192">
        <f>L277+M277</f>
        <v>4945394.86389053</v>
      </c>
      <c r="O277" s="128">
        <v>8088.24396648</v>
      </c>
      <c r="P277" s="128">
        <v>40935.555064620006</v>
      </c>
      <c r="Q277" s="128">
        <v>1845427.828644069</v>
      </c>
      <c r="R277" s="128">
        <v>209360.543953383</v>
      </c>
      <c r="S277" s="43" t="s">
        <v>27</v>
      </c>
    </row>
    <row r="278" spans="1:19" ht="12.75">
      <c r="A278" s="43" t="s">
        <v>28</v>
      </c>
      <c r="B278" s="96">
        <f t="shared" si="26"/>
        <v>3177574.634781956</v>
      </c>
      <c r="C278" s="100">
        <v>1847400.6652094387</v>
      </c>
      <c r="D278" s="100">
        <v>1330173.9695725176</v>
      </c>
      <c r="E278" s="96">
        <v>3997985.5254502534</v>
      </c>
      <c r="F278" s="96">
        <f>'8a- Assets'!F258-'8b- LIAB'!K264+'9a-Assets'!O241</f>
        <v>2181890.73198995</v>
      </c>
      <c r="G278" s="128">
        <v>188984.98882951002</v>
      </c>
      <c r="H278" s="128">
        <v>1071943.8191474108</v>
      </c>
      <c r="I278" s="128">
        <v>0</v>
      </c>
      <c r="J278" s="128">
        <v>48345.881170482986</v>
      </c>
      <c r="K278" s="128">
        <v>0</v>
      </c>
      <c r="L278" s="128">
        <v>2180477.5384376245</v>
      </c>
      <c r="M278" s="128">
        <v>2828313.0135022188</v>
      </c>
      <c r="N278" s="192">
        <f>L278+M278</f>
        <v>5008790.551939843</v>
      </c>
      <c r="O278" s="128">
        <v>14510.10949898</v>
      </c>
      <c r="P278" s="128">
        <v>40704.853163989996</v>
      </c>
      <c r="Q278" s="128">
        <v>1887915.0090751895</v>
      </c>
      <c r="R278" s="128">
        <v>223639.6381736396</v>
      </c>
      <c r="S278" s="43" t="s">
        <v>28</v>
      </c>
    </row>
    <row r="279" spans="1:19" ht="12.75">
      <c r="A279" s="43" t="s">
        <v>29</v>
      </c>
      <c r="B279" s="96">
        <f t="shared" si="26"/>
        <v>3010359.0984218987</v>
      </c>
      <c r="C279" s="100">
        <v>1801674.464463944</v>
      </c>
      <c r="D279" s="100">
        <v>1208684.6339579546</v>
      </c>
      <c r="E279" s="96">
        <v>3962052.3862411445</v>
      </c>
      <c r="F279" s="96">
        <f>'8a- Assets'!F259-'8b- LIAB'!K265+'9a-Assets'!O242</f>
        <v>2139567.02474492</v>
      </c>
      <c r="G279" s="128">
        <v>191614.0061963</v>
      </c>
      <c r="H279" s="128">
        <v>1076883.7693236805</v>
      </c>
      <c r="I279" s="128">
        <v>0</v>
      </c>
      <c r="J279" s="128">
        <v>46865.399909444466</v>
      </c>
      <c r="K279" s="128">
        <v>0</v>
      </c>
      <c r="L279" s="128">
        <v>2185582.6267743213</v>
      </c>
      <c r="M279" s="128">
        <v>2804530.7176036225</v>
      </c>
      <c r="N279" s="192">
        <f>L279+M279</f>
        <v>4990113.344377944</v>
      </c>
      <c r="O279" s="128">
        <v>13712.554118980002</v>
      </c>
      <c r="P279" s="128">
        <v>40679.86010746</v>
      </c>
      <c r="Q279" s="128">
        <v>1869446.654730172</v>
      </c>
      <c r="R279" s="128">
        <v>58450.0439688518</v>
      </c>
      <c r="S279" s="43" t="s">
        <v>29</v>
      </c>
    </row>
    <row r="280" spans="1:19" ht="12.75">
      <c r="A280" s="43" t="s">
        <v>30</v>
      </c>
      <c r="B280" s="96">
        <f t="shared" si="26"/>
        <v>2991952.1866929857</v>
      </c>
      <c r="C280" s="100">
        <v>1826414.9608449303</v>
      </c>
      <c r="D280" s="100">
        <v>1165537.2258480557</v>
      </c>
      <c r="E280" s="96">
        <v>4058301.769869582</v>
      </c>
      <c r="F280" s="96">
        <f>'8a- Assets'!F260-'8b- LIAB'!K266+'9a-Assets'!O243</f>
        <v>2256344.65891212</v>
      </c>
      <c r="G280" s="128">
        <v>183150.30639274</v>
      </c>
      <c r="H280" s="128">
        <v>1064369.4358104258</v>
      </c>
      <c r="I280" s="323">
        <v>0</v>
      </c>
      <c r="J280" s="128">
        <v>47315.18268749602</v>
      </c>
      <c r="K280" s="323">
        <v>0</v>
      </c>
      <c r="L280" s="128">
        <v>2213084.1893243482</v>
      </c>
      <c r="M280" s="128">
        <v>2825291.605985146</v>
      </c>
      <c r="N280" s="192">
        <v>5038375.795309494</v>
      </c>
      <c r="O280" s="128">
        <v>17200.525810940002</v>
      </c>
      <c r="P280" s="128">
        <v>40907.57462254</v>
      </c>
      <c r="Q280" s="128">
        <v>1913274.0526076036</v>
      </c>
      <c r="R280" s="128">
        <v>37902.48349151738</v>
      </c>
      <c r="S280" s="43" t="s">
        <v>30</v>
      </c>
    </row>
    <row r="281" spans="1:19" ht="12.75">
      <c r="A281" s="43" t="s">
        <v>31</v>
      </c>
      <c r="B281" s="96">
        <f t="shared" si="26"/>
        <v>2891448.934255936</v>
      </c>
      <c r="C281" s="100">
        <v>1756155.7533375935</v>
      </c>
      <c r="D281" s="100">
        <v>1135293.1809183424</v>
      </c>
      <c r="E281" s="96">
        <v>4195308.577956088</v>
      </c>
      <c r="F281" s="96">
        <f>'8a- Assets'!F261-'8b- LIAB'!K267+'9a-Assets'!O244</f>
        <v>2368760.7308422504</v>
      </c>
      <c r="G281" s="128">
        <v>186077.82371082</v>
      </c>
      <c r="H281" s="128">
        <v>1083039.773645033</v>
      </c>
      <c r="I281" s="323">
        <v>0</v>
      </c>
      <c r="J281" s="128">
        <v>50612.41369118439</v>
      </c>
      <c r="K281" s="323">
        <v>0</v>
      </c>
      <c r="L281" s="128">
        <v>2248676.780699691</v>
      </c>
      <c r="M281" s="128">
        <v>2815797.551047583</v>
      </c>
      <c r="N281" s="192">
        <v>5064474.331747274</v>
      </c>
      <c r="O281" s="128">
        <v>7732.622619240001</v>
      </c>
      <c r="P281" s="128">
        <v>41330.56317024</v>
      </c>
      <c r="Q281" s="128">
        <v>1928272.6089839884</v>
      </c>
      <c r="R281" s="128">
        <v>44947.38608932956</v>
      </c>
      <c r="S281" s="43" t="s">
        <v>31</v>
      </c>
    </row>
    <row r="282" spans="1:19" ht="12.75">
      <c r="A282" s="43" t="s">
        <v>32</v>
      </c>
      <c r="B282" s="96">
        <f t="shared" si="26"/>
        <v>2860937.181245275</v>
      </c>
      <c r="C282" s="100">
        <v>1732674.3425311728</v>
      </c>
      <c r="D282" s="100">
        <v>1128262.8387141018</v>
      </c>
      <c r="E282" s="96">
        <v>4300293.110415651</v>
      </c>
      <c r="F282" s="96">
        <f>'8a- Assets'!F262-'8b- LIAB'!K268+'9a-Assets'!O245</f>
        <v>2437871.80946649</v>
      </c>
      <c r="G282" s="128">
        <v>182438.28420763</v>
      </c>
      <c r="H282" s="128">
        <v>1122563.6212415015</v>
      </c>
      <c r="I282" s="323">
        <v>0</v>
      </c>
      <c r="J282" s="128">
        <v>50601.55943323002</v>
      </c>
      <c r="K282" s="323">
        <v>0</v>
      </c>
      <c r="L282" s="128">
        <v>2251957.4863425163</v>
      </c>
      <c r="M282" s="128">
        <v>2843032.5406823023</v>
      </c>
      <c r="N282" s="192">
        <v>5094990.027024819</v>
      </c>
      <c r="O282" s="128">
        <v>7574.084995610001</v>
      </c>
      <c r="P282" s="128">
        <v>42976.360150559995</v>
      </c>
      <c r="Q282" s="128">
        <v>2020915.5740924478</v>
      </c>
      <c r="R282" s="128">
        <v>-10810.901499677968</v>
      </c>
      <c r="S282" s="43" t="s">
        <v>32</v>
      </c>
    </row>
    <row r="283" spans="1:19" ht="12.75">
      <c r="A283" s="43" t="s">
        <v>33</v>
      </c>
      <c r="B283" s="96">
        <f t="shared" si="26"/>
        <v>2970083.8202466834</v>
      </c>
      <c r="C283" s="100">
        <v>1708357.645102089</v>
      </c>
      <c r="D283" s="100">
        <v>1261726.1751445942</v>
      </c>
      <c r="E283" s="96">
        <v>4458570.155200149</v>
      </c>
      <c r="F283" s="96">
        <f>'8a- Assets'!F263-'8b- LIAB'!K269+'9a-Assets'!O246</f>
        <v>2599905.1212692503</v>
      </c>
      <c r="G283" s="128">
        <v>177149.07370174</v>
      </c>
      <c r="H283" s="128">
        <v>1120229.8149370707</v>
      </c>
      <c r="I283" s="323">
        <v>0</v>
      </c>
      <c r="J283" s="128">
        <v>54410.115509187504</v>
      </c>
      <c r="K283" s="323">
        <v>0</v>
      </c>
      <c r="L283" s="128">
        <v>2293049.839921962</v>
      </c>
      <c r="M283" s="128">
        <v>3003741.9934807317</v>
      </c>
      <c r="N283" s="192">
        <v>5296791.833402693</v>
      </c>
      <c r="O283" s="128">
        <v>7417.71346311</v>
      </c>
      <c r="P283" s="128">
        <v>44538.089577080005</v>
      </c>
      <c r="Q283" s="128">
        <v>2121773.760263663</v>
      </c>
      <c r="R283" s="128">
        <v>-47680.6985346332</v>
      </c>
      <c r="S283" s="43" t="s">
        <v>33</v>
      </c>
    </row>
    <row r="284" spans="1:19" ht="12.75">
      <c r="A284" s="43" t="s">
        <v>35</v>
      </c>
      <c r="B284" s="96">
        <f t="shared" si="26"/>
        <v>2999801.918012742</v>
      </c>
      <c r="C284" s="100">
        <v>1694703.6992477318</v>
      </c>
      <c r="D284" s="100">
        <v>1305098.2187650101</v>
      </c>
      <c r="E284" s="96">
        <v>4533961.561547298</v>
      </c>
      <c r="F284" s="96">
        <f>'8a- Assets'!F264-'8b- LIAB'!K270+'9a-Assets'!O247</f>
        <v>2685991.04826639</v>
      </c>
      <c r="G284" s="128">
        <v>173450.23582693998</v>
      </c>
      <c r="H284" s="128">
        <v>1120707.93693019</v>
      </c>
      <c r="I284" s="323">
        <v>0</v>
      </c>
      <c r="J284" s="128">
        <v>50744.50445697749</v>
      </c>
      <c r="K284" s="323">
        <v>0</v>
      </c>
      <c r="L284" s="128">
        <v>2303555.1143857036</v>
      </c>
      <c r="M284" s="128">
        <v>3021051.303855843</v>
      </c>
      <c r="N284" s="128">
        <v>5324606.4182415465</v>
      </c>
      <c r="O284" s="128">
        <v>7070.413743110002</v>
      </c>
      <c r="P284" s="128">
        <v>45309.42410969</v>
      </c>
      <c r="Q284" s="128">
        <v>2187755.4762263726</v>
      </c>
      <c r="R284" s="128">
        <v>-30978.25343260419</v>
      </c>
      <c r="S284" s="43" t="s">
        <v>35</v>
      </c>
    </row>
    <row r="285" spans="1:19" ht="12.75">
      <c r="A285" s="43" t="s">
        <v>36</v>
      </c>
      <c r="B285" s="96">
        <f t="shared" si="26"/>
        <v>3029074.6434560893</v>
      </c>
      <c r="C285" s="100">
        <v>1677556.3962880534</v>
      </c>
      <c r="D285" s="100">
        <v>1351518.247168036</v>
      </c>
      <c r="E285" s="96">
        <v>4644766.819626851</v>
      </c>
      <c r="F285" s="96">
        <f>'8a- Assets'!F265-'8b- LIAB'!K271+'9a-Assets'!O248</f>
        <v>2777026.27299288</v>
      </c>
      <c r="G285" s="128">
        <v>175937.19750353</v>
      </c>
      <c r="H285" s="128">
        <v>1132861.3149252515</v>
      </c>
      <c r="I285" s="323">
        <v>0</v>
      </c>
      <c r="J285" s="128">
        <v>55874.19813839</v>
      </c>
      <c r="K285" s="323">
        <v>0</v>
      </c>
      <c r="L285" s="128">
        <v>2374722.3904493535</v>
      </c>
      <c r="M285" s="128">
        <v>3019616.7077021594</v>
      </c>
      <c r="N285" s="128">
        <v>5394339.098151512</v>
      </c>
      <c r="O285" s="128">
        <v>2710.7630231099997</v>
      </c>
      <c r="P285" s="128">
        <v>46893.07505549</v>
      </c>
      <c r="Q285" s="128">
        <v>2239616.4082086356</v>
      </c>
      <c r="R285" s="128">
        <v>-9717.883481563878</v>
      </c>
      <c r="S285" s="43" t="s">
        <v>36</v>
      </c>
    </row>
    <row r="286" spans="1:19" ht="12.75">
      <c r="A286" s="43" t="s">
        <v>265</v>
      </c>
      <c r="B286" s="96">
        <f t="shared" si="26"/>
        <v>3219098.460203134</v>
      </c>
      <c r="C286" s="100">
        <v>1870578.537234573</v>
      </c>
      <c r="D286" s="100">
        <v>1348519.922968561</v>
      </c>
      <c r="E286" s="96">
        <v>4405274.234099219</v>
      </c>
      <c r="F286" s="96">
        <f>'8a- Assets'!F266-'8b- LIAB'!K272+'9a-Assets'!O249</f>
        <v>2589700.49012824</v>
      </c>
      <c r="G286" s="128">
        <v>181798.49944687</v>
      </c>
      <c r="H286" s="128">
        <v>1090831.9395051082</v>
      </c>
      <c r="I286" s="323">
        <v>0</v>
      </c>
      <c r="J286" s="128">
        <v>39839.14620024</v>
      </c>
      <c r="K286" s="323">
        <v>0</v>
      </c>
      <c r="L286" s="128">
        <v>2496971.467021874</v>
      </c>
      <c r="M286" s="128">
        <v>2990898.7033733823</v>
      </c>
      <c r="N286" s="128">
        <v>5487870.170395257</v>
      </c>
      <c r="O286" s="128">
        <v>2707.05045811</v>
      </c>
      <c r="P286" s="128">
        <v>47453.98824851</v>
      </c>
      <c r="Q286" s="128">
        <v>2220896.9410460917</v>
      </c>
      <c r="R286" s="128">
        <v>-135103.8390178227</v>
      </c>
      <c r="S286" s="43" t="s">
        <v>37</v>
      </c>
    </row>
    <row r="287" spans="6:11" ht="12.75">
      <c r="F287" s="96"/>
      <c r="I287" s="323"/>
      <c r="K287" s="323"/>
    </row>
    <row r="288" spans="1:19" ht="12.75">
      <c r="A288" s="43">
        <v>2016</v>
      </c>
      <c r="E288" s="106"/>
      <c r="F288" s="96"/>
      <c r="I288" s="323"/>
      <c r="K288" s="323"/>
      <c r="S288" s="109">
        <v>2016</v>
      </c>
    </row>
    <row r="289" spans="1:19" ht="12.75">
      <c r="A289" s="43" t="s">
        <v>25</v>
      </c>
      <c r="B289" s="96">
        <f aca="true" t="shared" si="27" ref="B289:B294">C289+D289</f>
        <v>3160263.038650443</v>
      </c>
      <c r="C289" s="100">
        <v>1765079.107780026</v>
      </c>
      <c r="D289" s="100">
        <v>1395183.930870417</v>
      </c>
      <c r="E289" s="128">
        <v>4531158.326886995</v>
      </c>
      <c r="F289" s="96">
        <f>'8a- Assets'!F269-'8b- LIAB'!K275+'9a-Assets'!O252</f>
        <v>2671517.25547826</v>
      </c>
      <c r="G289" s="128">
        <v>183883.19985672</v>
      </c>
      <c r="H289" s="128">
        <v>1125201.9277262855</v>
      </c>
      <c r="I289" s="323">
        <v>0</v>
      </c>
      <c r="J289" s="128">
        <v>48000.16794443999</v>
      </c>
      <c r="K289" s="323">
        <v>0</v>
      </c>
      <c r="L289" s="128">
        <v>2433525.272594558</v>
      </c>
      <c r="M289" s="128">
        <v>3065947.287183317</v>
      </c>
      <c r="N289" s="128">
        <v>5499472.5597778745</v>
      </c>
      <c r="O289" s="128">
        <v>2703.41805811</v>
      </c>
      <c r="P289" s="128">
        <v>48256.332684589994</v>
      </c>
      <c r="Q289" s="128">
        <v>2267499.8298105914</v>
      </c>
      <c r="R289" s="128">
        <v>-126510.77627533552</v>
      </c>
      <c r="S289" s="43" t="s">
        <v>25</v>
      </c>
    </row>
    <row r="290" spans="1:19" ht="12.75">
      <c r="A290" s="43" t="s">
        <v>26</v>
      </c>
      <c r="B290" s="96">
        <f t="shared" si="27"/>
        <v>3157506.455537228</v>
      </c>
      <c r="C290" s="100">
        <v>1722379.6234582707</v>
      </c>
      <c r="D290" s="100">
        <v>1435126.8320789575</v>
      </c>
      <c r="E290" s="128">
        <v>4612123</v>
      </c>
      <c r="F290" s="96">
        <f>'8a- Assets'!F270-'8b- LIAB'!K276+'9a-Assets'!O253</f>
        <v>2734699.17466989</v>
      </c>
      <c r="G290" s="128">
        <v>190125.36000381</v>
      </c>
      <c r="H290" s="128">
        <v>1129166.7434616105</v>
      </c>
      <c r="I290" s="323">
        <v>0</v>
      </c>
      <c r="J290" s="128">
        <v>55064.76083749999</v>
      </c>
      <c r="K290" s="323">
        <v>0</v>
      </c>
      <c r="L290" s="128">
        <v>2468675.08728284</v>
      </c>
      <c r="M290" s="128">
        <v>3087706.910212065</v>
      </c>
      <c r="N290" s="128">
        <v>5556381.997494905</v>
      </c>
      <c r="O290" s="128">
        <v>2711.5137556100003</v>
      </c>
      <c r="P290" s="128">
        <v>48864.16045342</v>
      </c>
      <c r="Q290" s="128">
        <v>2400002.3818613626</v>
      </c>
      <c r="R290" s="128">
        <v>-238330.15960337064</v>
      </c>
      <c r="S290" s="43" t="s">
        <v>26</v>
      </c>
    </row>
    <row r="291" spans="1:19" ht="12.75">
      <c r="A291" s="43" t="s">
        <v>27</v>
      </c>
      <c r="B291" s="96">
        <f t="shared" si="27"/>
        <v>3204466.5528023634</v>
      </c>
      <c r="C291" s="100">
        <v>1748268.5450867838</v>
      </c>
      <c r="D291" s="100">
        <v>1456198.0077155794</v>
      </c>
      <c r="E291" s="128">
        <v>4697643.4429812245</v>
      </c>
      <c r="F291" s="96">
        <f>'8a- Assets'!F271-'8b- LIAB'!K277+'9a-Assets'!O254</f>
        <v>2790220.30724583</v>
      </c>
      <c r="G291" s="128">
        <v>190547.94317548</v>
      </c>
      <c r="H291" s="128">
        <v>1162998.9579551546</v>
      </c>
      <c r="I291" s="323">
        <v>0</v>
      </c>
      <c r="J291" s="128">
        <v>50072.277091109994</v>
      </c>
      <c r="K291" s="323">
        <v>0</v>
      </c>
      <c r="L291" s="128">
        <v>2486000.4404642107</v>
      </c>
      <c r="M291" s="128">
        <v>3106493.6990112225</v>
      </c>
      <c r="N291" s="128">
        <v>5592494.139475433</v>
      </c>
      <c r="O291" s="128">
        <v>2688.1586571100006</v>
      </c>
      <c r="P291" s="128">
        <v>49871.87712678</v>
      </c>
      <c r="Q291" s="128">
        <v>2542844.1465433454</v>
      </c>
      <c r="R291" s="128">
        <v>-286524.883875462</v>
      </c>
      <c r="S291" s="43" t="s">
        <v>27</v>
      </c>
    </row>
    <row r="292" spans="1:19" ht="12.75">
      <c r="A292" s="43" t="s">
        <v>28</v>
      </c>
      <c r="B292" s="96">
        <f t="shared" si="27"/>
        <v>3225099.242831038</v>
      </c>
      <c r="C292" s="100">
        <v>1771278.6557910321</v>
      </c>
      <c r="D292" s="100">
        <v>1453820.5870400057</v>
      </c>
      <c r="E292" s="128">
        <v>4776795.177474723</v>
      </c>
      <c r="F292" s="96">
        <f>'8a- Assets'!F272-'8b- LIAB'!K278+'9a-Assets'!O255</f>
        <v>2838848.4949189797</v>
      </c>
      <c r="G292" s="128">
        <v>186524.71830821</v>
      </c>
      <c r="H292" s="128">
        <v>1203785.6370652528</v>
      </c>
      <c r="I292" s="323">
        <v>0</v>
      </c>
      <c r="J292" s="128">
        <v>48318.92718228</v>
      </c>
      <c r="K292" s="323">
        <v>0</v>
      </c>
      <c r="L292" s="128">
        <v>2560100.609491381</v>
      </c>
      <c r="M292" s="128">
        <v>3108585.6611105376</v>
      </c>
      <c r="N292" s="128">
        <v>5668686.270601919</v>
      </c>
      <c r="O292" s="128">
        <v>4396.85095711</v>
      </c>
      <c r="P292" s="128">
        <v>50868.612002580005</v>
      </c>
      <c r="Q292" s="128">
        <v>2639169.5552123077</v>
      </c>
      <c r="R292" s="128">
        <v>-361226.8630786976</v>
      </c>
      <c r="S292" s="43" t="s">
        <v>28</v>
      </c>
    </row>
    <row r="293" spans="1:19" ht="12.75">
      <c r="A293" s="43" t="s">
        <v>29</v>
      </c>
      <c r="B293" s="96">
        <f t="shared" si="27"/>
        <v>3243225.811373539</v>
      </c>
      <c r="C293" s="100">
        <v>1758746.0870541083</v>
      </c>
      <c r="D293" s="100">
        <v>1484479.7243194305</v>
      </c>
      <c r="E293" s="128">
        <v>4858892.651749015</v>
      </c>
      <c r="F293" s="96">
        <f>'8a- Assets'!F273-'8b- LIAB'!K279+'9a-Assets'!O256</f>
        <v>2925836.25016365</v>
      </c>
      <c r="G293" s="128">
        <v>186529.86920622</v>
      </c>
      <c r="H293" s="128">
        <v>1204572.9046054154</v>
      </c>
      <c r="I293" s="323">
        <v>0</v>
      </c>
      <c r="J293" s="128">
        <v>42636.227773729996</v>
      </c>
      <c r="K293" s="323">
        <v>0</v>
      </c>
      <c r="L293" s="128">
        <v>2550154.482425531</v>
      </c>
      <c r="M293" s="128">
        <v>3138889.223714413</v>
      </c>
      <c r="N293" s="128">
        <v>5689043.7061399445</v>
      </c>
      <c r="O293" s="128">
        <v>7331.628414610001</v>
      </c>
      <c r="P293" s="128">
        <v>51253.395675980006</v>
      </c>
      <c r="Q293" s="128">
        <v>2283445.552867196</v>
      </c>
      <c r="R293" s="154">
        <v>71044.18370104214</v>
      </c>
      <c r="S293" s="43" t="s">
        <v>29</v>
      </c>
    </row>
    <row r="294" spans="1:19" ht="12.75">
      <c r="A294" s="43" t="s">
        <v>30</v>
      </c>
      <c r="B294" s="96">
        <f t="shared" si="27"/>
        <v>3099249.504187272</v>
      </c>
      <c r="C294" s="100">
        <v>1585805.1738760748</v>
      </c>
      <c r="D294" s="100">
        <v>1513444.3303111969</v>
      </c>
      <c r="E294" s="128">
        <v>4997370.21590947</v>
      </c>
      <c r="F294" s="96">
        <f>'8a- Assets'!F274-'8b- LIAB'!K280+'9a-Assets'!O257</f>
        <v>3039095.0644850098</v>
      </c>
      <c r="G294" s="128">
        <v>188298.90611296</v>
      </c>
      <c r="H294" s="128">
        <v>1214904.97880091</v>
      </c>
      <c r="I294" s="323">
        <v>0</v>
      </c>
      <c r="J294" s="128">
        <v>55728.55118264</v>
      </c>
      <c r="K294" s="323">
        <v>0</v>
      </c>
      <c r="L294" s="128">
        <v>2585434.4716225406</v>
      </c>
      <c r="M294" s="128">
        <v>3190922.4574548504</v>
      </c>
      <c r="N294" s="128">
        <v>5776356.929077391</v>
      </c>
      <c r="O294" s="128">
        <v>7143.557344610001</v>
      </c>
      <c r="P294" s="128">
        <v>51871.36372532</v>
      </c>
      <c r="Q294" s="128">
        <v>2203379.815624343</v>
      </c>
      <c r="R294" s="128">
        <v>57866.958436203655</v>
      </c>
      <c r="S294" s="43" t="s">
        <v>30</v>
      </c>
    </row>
    <row r="295" spans="1:19" ht="12.75">
      <c r="A295" s="43" t="s">
        <v>31</v>
      </c>
      <c r="B295" s="96">
        <f>C295+D295</f>
        <v>3178698</v>
      </c>
      <c r="C295" s="100">
        <f>3415517-1765055</f>
        <v>1650462</v>
      </c>
      <c r="D295" s="100">
        <f>1540862-12626</f>
        <v>1528236</v>
      </c>
      <c r="E295" s="128">
        <v>5091884</v>
      </c>
      <c r="F295" s="96">
        <v>3131675</v>
      </c>
      <c r="G295" s="128">
        <v>188519</v>
      </c>
      <c r="H295" s="128">
        <v>1226047</v>
      </c>
      <c r="I295" s="323">
        <v>0</v>
      </c>
      <c r="J295" s="128">
        <v>46325</v>
      </c>
      <c r="K295" s="323">
        <v>0</v>
      </c>
      <c r="L295" s="128">
        <v>2594033</v>
      </c>
      <c r="M295" s="128">
        <v>3268027</v>
      </c>
      <c r="N295" s="128">
        <v>5862059</v>
      </c>
      <c r="O295" s="128">
        <v>14285</v>
      </c>
      <c r="P295" s="128">
        <v>51303</v>
      </c>
      <c r="Q295" s="128">
        <v>2149315</v>
      </c>
      <c r="R295" s="128">
        <v>193618</v>
      </c>
      <c r="S295" s="43" t="s">
        <v>31</v>
      </c>
    </row>
    <row r="296" spans="1:19" ht="12.75">
      <c r="A296" s="43" t="s">
        <v>32</v>
      </c>
      <c r="B296" s="96">
        <f>C296+D296</f>
        <v>3045490</v>
      </c>
      <c r="C296" s="100">
        <f>3367355-1820385</f>
        <v>1546970</v>
      </c>
      <c r="D296" s="100">
        <f>1505772-7252</f>
        <v>1498520</v>
      </c>
      <c r="E296" s="128">
        <v>5140441</v>
      </c>
      <c r="F296" s="96">
        <v>3199019</v>
      </c>
      <c r="G296" s="128">
        <v>181027</v>
      </c>
      <c r="H296" s="128">
        <v>1227122</v>
      </c>
      <c r="I296" s="323">
        <v>0</v>
      </c>
      <c r="J296" s="128">
        <v>33955</v>
      </c>
      <c r="K296" s="323">
        <v>0</v>
      </c>
      <c r="L296" s="128">
        <v>2559593</v>
      </c>
      <c r="M296" s="128">
        <v>3244450</v>
      </c>
      <c r="N296" s="128">
        <v>5804043</v>
      </c>
      <c r="O296" s="128">
        <v>5300</v>
      </c>
      <c r="P296" s="128">
        <v>52880</v>
      </c>
      <c r="Q296" s="128">
        <v>2208208</v>
      </c>
      <c r="R296" s="128">
        <v>115501</v>
      </c>
      <c r="S296" s="43" t="s">
        <v>32</v>
      </c>
    </row>
    <row r="297" spans="1:19" ht="12.75">
      <c r="A297" s="43" t="s">
        <v>33</v>
      </c>
      <c r="B297" s="96">
        <f>C297+D297</f>
        <v>3111610</v>
      </c>
      <c r="C297" s="100">
        <f>3399153-1905808</f>
        <v>1493345</v>
      </c>
      <c r="D297" s="100">
        <f>1625751-7486</f>
        <v>1618265</v>
      </c>
      <c r="E297" s="128">
        <v>5235420</v>
      </c>
      <c r="F297" s="96">
        <v>3267730</v>
      </c>
      <c r="G297" s="128">
        <v>183383</v>
      </c>
      <c r="H297" s="128">
        <v>1252780</v>
      </c>
      <c r="I297" s="323">
        <v>0</v>
      </c>
      <c r="J297" s="128">
        <v>32204</v>
      </c>
      <c r="K297" s="323">
        <v>0</v>
      </c>
      <c r="L297" s="128">
        <v>2601705</v>
      </c>
      <c r="M297" s="128">
        <v>3344399</v>
      </c>
      <c r="N297" s="128">
        <v>5946104</v>
      </c>
      <c r="O297" s="128">
        <v>4115</v>
      </c>
      <c r="P297" s="128">
        <v>55311</v>
      </c>
      <c r="Q297" s="128">
        <v>2357399</v>
      </c>
      <c r="R297" s="128">
        <v>-15900</v>
      </c>
      <c r="S297" s="43" t="s">
        <v>33</v>
      </c>
    </row>
    <row r="298" spans="1:19" ht="12.75">
      <c r="A298" s="43" t="s">
        <v>35</v>
      </c>
      <c r="B298" s="96">
        <f>C298+D298</f>
        <v>0</v>
      </c>
      <c r="C298" s="100"/>
      <c r="D298" s="100"/>
      <c r="E298" s="128"/>
      <c r="F298" s="96">
        <f>'8a- Assets'!F282-'8b- LIAB'!K288+'9a-Assets'!O265</f>
        <v>0</v>
      </c>
      <c r="I298" s="323"/>
      <c r="K298" s="323"/>
      <c r="S298" s="43" t="s">
        <v>35</v>
      </c>
    </row>
    <row r="300" spans="1:27" s="275" customFormat="1" ht="13.5">
      <c r="A300" s="270" t="s">
        <v>237</v>
      </c>
      <c r="B300" s="271" t="s">
        <v>239</v>
      </c>
      <c r="C300" s="272"/>
      <c r="D300" s="273"/>
      <c r="E300" s="273"/>
      <c r="F300" s="273"/>
      <c r="G300" s="273"/>
      <c r="H300" s="273"/>
      <c r="I300" s="273"/>
      <c r="J300" s="273"/>
      <c r="K300" s="273"/>
      <c r="L300" s="273"/>
      <c r="M300" s="274"/>
      <c r="N300" s="273"/>
      <c r="O300" s="273"/>
      <c r="P300" s="272"/>
      <c r="Q300" s="272"/>
      <c r="R300" s="272"/>
      <c r="S300" s="272"/>
      <c r="T300" s="272"/>
      <c r="U300" s="272"/>
      <c r="V300" s="272"/>
      <c r="W300" s="272"/>
      <c r="X300" s="270"/>
      <c r="AA300" s="276"/>
    </row>
    <row r="301" spans="1:2" ht="12.75">
      <c r="A301" s="109" t="s">
        <v>238</v>
      </c>
      <c r="B301" s="80" t="s">
        <v>266</v>
      </c>
    </row>
    <row r="303" spans="3:6" ht="12.75">
      <c r="C303" s="100"/>
      <c r="E303" s="344"/>
      <c r="F303" s="106">
        <f>+F289-'[15]MS'!$W$16</f>
        <v>511.6241187104024</v>
      </c>
    </row>
  </sheetData>
  <sheetProtection/>
  <mergeCells count="3">
    <mergeCell ref="A1:R1"/>
    <mergeCell ref="A2:R2"/>
    <mergeCell ref="E4:J4"/>
  </mergeCells>
  <printOptions horizontalCentered="1"/>
  <pageMargins left="0.2" right="0.23" top="0.4" bottom="0.38" header="0.33" footer="0.25"/>
  <pageSetup horizontalDpi="600" verticalDpi="600" orientation="landscape" paperSize="9" scale="55" r:id="rId3"/>
  <headerFooter alignWithMargins="0">
    <oddFooter>&amp;L&amp;D&amp;R&amp;T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6"/>
  <sheetViews>
    <sheetView view="pageBreakPreview" zoomScaleSheetLayoutView="100" zoomScalePageLayoutView="0" workbookViewId="0" topLeftCell="A1">
      <pane xSplit="1" ySplit="6" topLeftCell="B24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W261" sqref="W261"/>
    </sheetView>
  </sheetViews>
  <sheetFormatPr defaultColWidth="9.33203125" defaultRowHeight="12.75"/>
  <cols>
    <col min="1" max="1" width="12.83203125" style="109" customWidth="1"/>
    <col min="2" max="2" width="14.66015625" style="104" customWidth="1"/>
    <col min="3" max="3" width="11.16015625" style="126" customWidth="1"/>
    <col min="4" max="4" width="17" style="104" customWidth="1"/>
    <col min="5" max="5" width="15" style="104" customWidth="1"/>
    <col min="6" max="6" width="24.33203125" style="104" customWidth="1"/>
    <col min="7" max="8" width="18.16015625" style="104" customWidth="1"/>
    <col min="9" max="9" width="14.33203125" style="104" customWidth="1"/>
    <col min="10" max="10" width="18.83203125" style="104" customWidth="1"/>
    <col min="11" max="12" width="24.5" style="104" customWidth="1"/>
    <col min="13" max="13" width="21.33203125" style="104" customWidth="1"/>
    <col min="14" max="14" width="22.16015625" style="104" customWidth="1"/>
    <col min="15" max="15" width="22.33203125" style="133" customWidth="1"/>
    <col min="16" max="16" width="13.83203125" style="104" customWidth="1"/>
    <col min="17" max="17" width="13.5" style="104" bestFit="1" customWidth="1"/>
    <col min="18" max="18" width="12.5" style="104" customWidth="1"/>
    <col min="19" max="19" width="14.16015625" style="104" customWidth="1"/>
    <col min="20" max="20" width="14" style="104" customWidth="1"/>
    <col min="21" max="21" width="15.5" style="104" customWidth="1"/>
    <col min="22" max="22" width="13.5" style="104" customWidth="1"/>
    <col min="23" max="23" width="14.33203125" style="126" customWidth="1"/>
    <col min="24" max="24" width="14" style="109" customWidth="1"/>
    <col min="25" max="16384" width="9.33203125" style="104" customWidth="1"/>
  </cols>
  <sheetData>
    <row r="1" spans="1:24" ht="20.25">
      <c r="A1" s="345" t="s">
        <v>121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</row>
    <row r="2" spans="1:24" ht="20.25" customHeight="1" thickBot="1">
      <c r="A2" s="350" t="s">
        <v>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</row>
    <row r="3" spans="1:25" ht="13.5" thickBot="1">
      <c r="A3" s="111"/>
      <c r="B3" s="143"/>
      <c r="C3" s="351" t="s">
        <v>252</v>
      </c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179"/>
      <c r="O3" s="99"/>
      <c r="P3" s="112"/>
      <c r="Q3" s="137"/>
      <c r="R3" s="112"/>
      <c r="S3" s="137"/>
      <c r="T3" s="143"/>
      <c r="U3" s="143"/>
      <c r="V3" s="143"/>
      <c r="W3" s="125"/>
      <c r="X3" s="111"/>
      <c r="Y3" s="112"/>
    </row>
    <row r="4" spans="1:25" ht="12.75">
      <c r="A4" s="43" t="s">
        <v>40</v>
      </c>
      <c r="B4" s="95" t="s">
        <v>43</v>
      </c>
      <c r="C4" s="145" t="s">
        <v>41</v>
      </c>
      <c r="D4" s="146" t="s">
        <v>142</v>
      </c>
      <c r="E4" s="43" t="s">
        <v>44</v>
      </c>
      <c r="F4" s="43" t="s">
        <v>180</v>
      </c>
      <c r="G4" s="43" t="s">
        <v>181</v>
      </c>
      <c r="H4" s="43" t="s">
        <v>181</v>
      </c>
      <c r="I4" s="147" t="s">
        <v>96</v>
      </c>
      <c r="J4" s="147" t="s">
        <v>263</v>
      </c>
      <c r="K4" s="147" t="s">
        <v>271</v>
      </c>
      <c r="L4" s="147" t="s">
        <v>241</v>
      </c>
      <c r="M4" s="7" t="s">
        <v>97</v>
      </c>
      <c r="N4" s="180" t="s">
        <v>184</v>
      </c>
      <c r="O4" s="282" t="s">
        <v>250</v>
      </c>
      <c r="P4" s="43" t="s">
        <v>4</v>
      </c>
      <c r="Q4" s="50" t="s">
        <v>45</v>
      </c>
      <c r="R4" s="43" t="s">
        <v>45</v>
      </c>
      <c r="S4" s="50" t="s">
        <v>4</v>
      </c>
      <c r="T4" s="95" t="s">
        <v>45</v>
      </c>
      <c r="U4" s="95" t="s">
        <v>46</v>
      </c>
      <c r="V4" s="95" t="s">
        <v>98</v>
      </c>
      <c r="W4" s="145" t="s">
        <v>41</v>
      </c>
      <c r="X4" s="6" t="s">
        <v>2</v>
      </c>
      <c r="Y4" s="112"/>
    </row>
    <row r="5" spans="1:25" ht="18" customHeight="1" thickBot="1">
      <c r="A5" s="53" t="s">
        <v>12</v>
      </c>
      <c r="B5" s="121" t="s">
        <v>48</v>
      </c>
      <c r="C5" s="148"/>
      <c r="D5" s="55"/>
      <c r="E5" s="53" t="s">
        <v>49</v>
      </c>
      <c r="F5" s="53" t="s">
        <v>233</v>
      </c>
      <c r="G5" s="53" t="s">
        <v>235</v>
      </c>
      <c r="H5" s="53" t="s">
        <v>232</v>
      </c>
      <c r="I5" s="149" t="s">
        <v>99</v>
      </c>
      <c r="J5" s="149" t="s">
        <v>264</v>
      </c>
      <c r="K5" s="149" t="s">
        <v>178</v>
      </c>
      <c r="L5" s="149" t="s">
        <v>240</v>
      </c>
      <c r="M5" s="178" t="s">
        <v>100</v>
      </c>
      <c r="N5" s="121" t="s">
        <v>175</v>
      </c>
      <c r="O5" s="283" t="s">
        <v>157</v>
      </c>
      <c r="P5" s="53" t="s">
        <v>50</v>
      </c>
      <c r="Q5" s="54" t="s">
        <v>51</v>
      </c>
      <c r="R5" s="53" t="s">
        <v>101</v>
      </c>
      <c r="S5" s="54" t="s">
        <v>102</v>
      </c>
      <c r="T5" s="121" t="s">
        <v>52</v>
      </c>
      <c r="U5" s="121" t="s">
        <v>48</v>
      </c>
      <c r="V5" s="121" t="s">
        <v>20</v>
      </c>
      <c r="W5" s="148" t="s">
        <v>48</v>
      </c>
      <c r="X5" s="53" t="s">
        <v>12</v>
      </c>
      <c r="Y5" s="112"/>
    </row>
    <row r="6" spans="1:25" ht="17.25" customHeight="1" thickBot="1">
      <c r="A6" s="53">
        <v>1</v>
      </c>
      <c r="B6" s="53">
        <v>2</v>
      </c>
      <c r="C6" s="148">
        <v>3</v>
      </c>
      <c r="D6" s="53">
        <v>4</v>
      </c>
      <c r="E6" s="53">
        <v>6</v>
      </c>
      <c r="F6" s="53"/>
      <c r="G6" s="53"/>
      <c r="H6" s="53"/>
      <c r="I6" s="53">
        <v>7</v>
      </c>
      <c r="J6" s="53"/>
      <c r="K6" s="53"/>
      <c r="L6" s="53"/>
      <c r="M6" s="150">
        <v>8</v>
      </c>
      <c r="N6" s="121">
        <v>5</v>
      </c>
      <c r="O6" s="148">
        <v>9</v>
      </c>
      <c r="P6" s="53">
        <v>10</v>
      </c>
      <c r="Q6" s="53">
        <v>11</v>
      </c>
      <c r="R6" s="53">
        <v>12</v>
      </c>
      <c r="S6" s="53">
        <v>13</v>
      </c>
      <c r="T6" s="53">
        <v>14</v>
      </c>
      <c r="U6" s="53">
        <v>15</v>
      </c>
      <c r="V6" s="53">
        <v>16</v>
      </c>
      <c r="W6" s="148">
        <v>17</v>
      </c>
      <c r="X6" s="82">
        <v>18</v>
      </c>
      <c r="Y6" s="151"/>
    </row>
    <row r="7" spans="1:24" ht="12.75">
      <c r="A7" s="6"/>
      <c r="B7" s="6"/>
      <c r="C7" s="15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282"/>
      <c r="P7" s="6"/>
      <c r="Q7" s="6"/>
      <c r="R7" s="6"/>
      <c r="S7" s="6"/>
      <c r="T7" s="6"/>
      <c r="U7" s="6"/>
      <c r="V7" s="6"/>
      <c r="W7" s="151"/>
      <c r="X7" s="6"/>
    </row>
    <row r="8" spans="1:24" ht="12.75" hidden="1">
      <c r="A8" s="43">
        <v>1996</v>
      </c>
      <c r="B8" s="123">
        <v>126249</v>
      </c>
      <c r="C8" s="96">
        <v>415369</v>
      </c>
      <c r="D8" s="123">
        <v>6659</v>
      </c>
      <c r="E8" s="123">
        <v>1021</v>
      </c>
      <c r="F8" s="123"/>
      <c r="G8" s="123"/>
      <c r="H8" s="123"/>
      <c r="I8" s="123">
        <v>8014</v>
      </c>
      <c r="J8" s="123"/>
      <c r="K8" s="123"/>
      <c r="L8" s="123"/>
      <c r="M8" s="123">
        <v>399131</v>
      </c>
      <c r="N8" s="123"/>
      <c r="O8" s="96"/>
      <c r="P8" s="123">
        <v>203</v>
      </c>
      <c r="Q8" s="123">
        <v>1031</v>
      </c>
      <c r="R8" s="123">
        <v>1173</v>
      </c>
      <c r="S8" s="123">
        <v>33</v>
      </c>
      <c r="T8" s="123">
        <v>302</v>
      </c>
      <c r="U8" s="123">
        <v>16395</v>
      </c>
      <c r="V8" s="123">
        <v>68417</v>
      </c>
      <c r="W8" s="96">
        <v>629173</v>
      </c>
      <c r="X8" s="43">
        <v>1996</v>
      </c>
    </row>
    <row r="9" spans="1:24" ht="12.75" hidden="1">
      <c r="A9" s="43">
        <v>1997</v>
      </c>
      <c r="B9" s="123">
        <v>192088</v>
      </c>
      <c r="C9" s="96">
        <v>470932</v>
      </c>
      <c r="D9" s="123">
        <v>10105</v>
      </c>
      <c r="E9" s="123">
        <v>9086</v>
      </c>
      <c r="F9" s="123"/>
      <c r="G9" s="123"/>
      <c r="H9" s="123"/>
      <c r="I9" s="123">
        <v>52373</v>
      </c>
      <c r="J9" s="123"/>
      <c r="K9" s="123"/>
      <c r="L9" s="123"/>
      <c r="M9" s="123">
        <v>399131</v>
      </c>
      <c r="N9" s="123"/>
      <c r="O9" s="96"/>
      <c r="P9" s="123">
        <v>203</v>
      </c>
      <c r="Q9" s="123">
        <v>2577</v>
      </c>
      <c r="R9" s="123">
        <v>495</v>
      </c>
      <c r="S9" s="123">
        <v>34</v>
      </c>
      <c r="T9" s="123">
        <v>85</v>
      </c>
      <c r="U9" s="123">
        <v>15815</v>
      </c>
      <c r="V9" s="123">
        <v>59877</v>
      </c>
      <c r="W9" s="96">
        <v>742106</v>
      </c>
      <c r="X9" s="43">
        <v>1997</v>
      </c>
    </row>
    <row r="10" spans="1:24" ht="12.75" hidden="1">
      <c r="A10" s="43">
        <v>1998</v>
      </c>
      <c r="B10" s="123">
        <v>253947</v>
      </c>
      <c r="C10" s="96">
        <v>462352</v>
      </c>
      <c r="D10" s="123">
        <v>16289</v>
      </c>
      <c r="E10" s="123">
        <v>10675</v>
      </c>
      <c r="F10" s="123"/>
      <c r="G10" s="123"/>
      <c r="H10" s="123"/>
      <c r="I10" s="123">
        <v>36620</v>
      </c>
      <c r="J10" s="123"/>
      <c r="K10" s="123"/>
      <c r="L10" s="123"/>
      <c r="M10" s="123">
        <v>398762</v>
      </c>
      <c r="N10" s="123"/>
      <c r="O10" s="96">
        <v>71888</v>
      </c>
      <c r="P10" s="123">
        <v>13</v>
      </c>
      <c r="Q10" s="123">
        <v>1749</v>
      </c>
      <c r="R10" s="123">
        <v>1049</v>
      </c>
      <c r="S10" s="123" t="s">
        <v>85</v>
      </c>
      <c r="T10" s="123">
        <v>6</v>
      </c>
      <c r="U10" s="123">
        <v>15291</v>
      </c>
      <c r="V10" s="123">
        <v>109167</v>
      </c>
      <c r="W10" s="96">
        <v>843574</v>
      </c>
      <c r="X10" s="43">
        <v>1998</v>
      </c>
    </row>
    <row r="11" spans="1:24" ht="12.75" hidden="1">
      <c r="A11" s="43">
        <v>1999</v>
      </c>
      <c r="B11" s="123">
        <v>418425</v>
      </c>
      <c r="C11" s="96">
        <v>522333</v>
      </c>
      <c r="D11" s="123">
        <v>18220</v>
      </c>
      <c r="E11" s="123">
        <v>495</v>
      </c>
      <c r="F11" s="123"/>
      <c r="G11" s="123"/>
      <c r="H11" s="123"/>
      <c r="I11" s="123">
        <v>105150</v>
      </c>
      <c r="J11" s="123"/>
      <c r="K11" s="123"/>
      <c r="L11" s="123"/>
      <c r="M11" s="123">
        <v>398386</v>
      </c>
      <c r="N11" s="123"/>
      <c r="O11" s="96">
        <v>123947</v>
      </c>
      <c r="P11" s="123">
        <v>66</v>
      </c>
      <c r="Q11" s="123">
        <v>788</v>
      </c>
      <c r="R11" s="123">
        <v>1736</v>
      </c>
      <c r="S11" s="123">
        <v>4</v>
      </c>
      <c r="T11" s="123">
        <v>26</v>
      </c>
      <c r="U11" s="123">
        <v>19271</v>
      </c>
      <c r="V11" s="123">
        <v>158107</v>
      </c>
      <c r="W11" s="96">
        <v>1120755</v>
      </c>
      <c r="X11" s="43">
        <v>1999</v>
      </c>
    </row>
    <row r="12" spans="1:24" ht="12.75" hidden="1">
      <c r="A12" s="43">
        <v>2000</v>
      </c>
      <c r="B12" s="123">
        <f>B38</f>
        <v>307868</v>
      </c>
      <c r="C12" s="123">
        <f aca="true" t="shared" si="0" ref="C12:W12">C38</f>
        <v>629198</v>
      </c>
      <c r="D12" s="123">
        <f t="shared" si="0"/>
        <v>3954</v>
      </c>
      <c r="E12" s="123">
        <f t="shared" si="0"/>
        <v>2045</v>
      </c>
      <c r="F12" s="123">
        <f t="shared" si="0"/>
        <v>0</v>
      </c>
      <c r="G12" s="123">
        <f t="shared" si="0"/>
        <v>0</v>
      </c>
      <c r="H12" s="123"/>
      <c r="I12" s="123">
        <f t="shared" si="0"/>
        <v>90529</v>
      </c>
      <c r="J12" s="123">
        <f t="shared" si="0"/>
        <v>0</v>
      </c>
      <c r="K12" s="123">
        <f t="shared" si="0"/>
        <v>0</v>
      </c>
      <c r="L12" s="123"/>
      <c r="M12" s="123">
        <f t="shared" si="0"/>
        <v>532670</v>
      </c>
      <c r="N12" s="123">
        <f t="shared" si="0"/>
        <v>0</v>
      </c>
      <c r="O12" s="96" t="e">
        <f t="shared" si="0"/>
        <v>#REF!</v>
      </c>
      <c r="P12" s="123">
        <f t="shared" si="0"/>
        <v>13</v>
      </c>
      <c r="Q12" s="123">
        <f t="shared" si="0"/>
        <v>1008</v>
      </c>
      <c r="R12" s="123">
        <f t="shared" si="0"/>
        <v>606</v>
      </c>
      <c r="S12" s="123">
        <f t="shared" si="0"/>
        <v>0</v>
      </c>
      <c r="T12" s="123">
        <f t="shared" si="0"/>
        <v>853</v>
      </c>
      <c r="U12" s="123">
        <f t="shared" si="0"/>
        <v>25457</v>
      </c>
      <c r="V12" s="123">
        <f t="shared" si="0"/>
        <v>105381</v>
      </c>
      <c r="W12" s="123">
        <f t="shared" si="0"/>
        <v>0</v>
      </c>
      <c r="X12" s="43">
        <v>2000</v>
      </c>
    </row>
    <row r="13" spans="1:24" ht="12.75" hidden="1">
      <c r="A13" s="43">
        <v>2001</v>
      </c>
      <c r="B13" s="100">
        <f>B52</f>
        <v>395502</v>
      </c>
      <c r="C13" s="100">
        <f aca="true" t="shared" si="1" ref="C13:W13">C52</f>
        <v>647403</v>
      </c>
      <c r="D13" s="100">
        <f t="shared" si="1"/>
        <v>30175</v>
      </c>
      <c r="E13" s="100">
        <f t="shared" si="1"/>
        <v>5691</v>
      </c>
      <c r="F13" s="100">
        <f t="shared" si="1"/>
        <v>0</v>
      </c>
      <c r="G13" s="100">
        <f t="shared" si="1"/>
        <v>0</v>
      </c>
      <c r="H13" s="100"/>
      <c r="I13" s="100">
        <f t="shared" si="1"/>
        <v>79510</v>
      </c>
      <c r="J13" s="100">
        <f t="shared" si="1"/>
        <v>0</v>
      </c>
      <c r="K13" s="100">
        <f t="shared" si="1"/>
        <v>0</v>
      </c>
      <c r="L13" s="100"/>
      <c r="M13" s="100">
        <f t="shared" si="1"/>
        <v>532025</v>
      </c>
      <c r="N13" s="100">
        <f t="shared" si="1"/>
        <v>0</v>
      </c>
      <c r="O13" s="133" t="e">
        <f t="shared" si="1"/>
        <v>#REF!</v>
      </c>
      <c r="P13" s="100">
        <f t="shared" si="1"/>
        <v>13</v>
      </c>
      <c r="Q13" s="100">
        <f t="shared" si="1"/>
        <v>1969</v>
      </c>
      <c r="R13" s="100">
        <f t="shared" si="1"/>
        <v>969</v>
      </c>
      <c r="S13" s="100">
        <f t="shared" si="1"/>
        <v>0</v>
      </c>
      <c r="T13" s="100">
        <f t="shared" si="1"/>
        <v>520</v>
      </c>
      <c r="U13" s="100">
        <f t="shared" si="1"/>
        <v>49575</v>
      </c>
      <c r="V13" s="100">
        <f t="shared" si="1"/>
        <v>106936</v>
      </c>
      <c r="W13" s="100">
        <f t="shared" si="1"/>
        <v>1202886</v>
      </c>
      <c r="X13" s="43">
        <v>2001</v>
      </c>
    </row>
    <row r="14" spans="1:24" ht="12.75" hidden="1">
      <c r="A14" s="43">
        <v>2002</v>
      </c>
      <c r="B14" s="103">
        <f>B66</f>
        <v>495481</v>
      </c>
      <c r="C14" s="103">
        <f aca="true" t="shared" si="2" ref="C14:W14">C66</f>
        <v>652002</v>
      </c>
      <c r="D14" s="103">
        <f t="shared" si="2"/>
        <v>33597</v>
      </c>
      <c r="E14" s="103">
        <f t="shared" si="2"/>
        <v>12101</v>
      </c>
      <c r="F14" s="103">
        <f t="shared" si="2"/>
        <v>0</v>
      </c>
      <c r="G14" s="103">
        <f t="shared" si="2"/>
        <v>0</v>
      </c>
      <c r="H14" s="103"/>
      <c r="I14" s="103">
        <f t="shared" si="2"/>
        <v>74279</v>
      </c>
      <c r="J14" s="103">
        <f t="shared" si="2"/>
        <v>0</v>
      </c>
      <c r="K14" s="103">
        <f t="shared" si="2"/>
        <v>0</v>
      </c>
      <c r="L14" s="103"/>
      <c r="M14" s="103">
        <f t="shared" si="2"/>
        <v>532025</v>
      </c>
      <c r="N14" s="103">
        <f t="shared" si="2"/>
        <v>0</v>
      </c>
      <c r="O14" s="99">
        <f t="shared" si="2"/>
        <v>53598</v>
      </c>
      <c r="P14" s="103">
        <f t="shared" si="2"/>
        <v>13</v>
      </c>
      <c r="Q14" s="103">
        <f t="shared" si="2"/>
        <v>6161</v>
      </c>
      <c r="R14" s="103">
        <f t="shared" si="2"/>
        <v>278</v>
      </c>
      <c r="S14" s="103">
        <f t="shared" si="2"/>
        <v>0</v>
      </c>
      <c r="T14" s="103">
        <f t="shared" si="2"/>
        <v>102</v>
      </c>
      <c r="U14" s="103">
        <f t="shared" si="2"/>
        <v>57664</v>
      </c>
      <c r="V14" s="103">
        <f t="shared" si="2"/>
        <v>121351</v>
      </c>
      <c r="W14" s="103">
        <f t="shared" si="2"/>
        <v>1333052</v>
      </c>
      <c r="X14" s="43">
        <v>2002</v>
      </c>
    </row>
    <row r="15" spans="1:24" ht="12.75" hidden="1">
      <c r="A15" s="43">
        <v>2003</v>
      </c>
      <c r="B15" s="100">
        <f>B80</f>
        <v>556682</v>
      </c>
      <c r="C15" s="100">
        <f aca="true" t="shared" si="3" ref="C15:W15">C80</f>
        <v>681976</v>
      </c>
      <c r="D15" s="100">
        <f t="shared" si="3"/>
        <v>65610</v>
      </c>
      <c r="E15" s="100">
        <f t="shared" si="3"/>
        <v>17219</v>
      </c>
      <c r="F15" s="100">
        <f t="shared" si="3"/>
        <v>0</v>
      </c>
      <c r="G15" s="100">
        <f t="shared" si="3"/>
        <v>0</v>
      </c>
      <c r="H15" s="100"/>
      <c r="I15" s="100">
        <f t="shared" si="3"/>
        <v>68110</v>
      </c>
      <c r="J15" s="100">
        <f t="shared" si="3"/>
        <v>0</v>
      </c>
      <c r="K15" s="100">
        <f t="shared" si="3"/>
        <v>0</v>
      </c>
      <c r="L15" s="100"/>
      <c r="M15" s="100">
        <f t="shared" si="3"/>
        <v>531037</v>
      </c>
      <c r="N15" s="100">
        <f t="shared" si="3"/>
        <v>0</v>
      </c>
      <c r="O15" s="133">
        <f t="shared" si="3"/>
        <v>139585</v>
      </c>
      <c r="P15" s="100">
        <f t="shared" si="3"/>
        <v>13</v>
      </c>
      <c r="Q15" s="100">
        <f t="shared" si="3"/>
        <v>1911</v>
      </c>
      <c r="R15" s="100">
        <f t="shared" si="3"/>
        <v>59</v>
      </c>
      <c r="S15" s="100">
        <f t="shared" si="3"/>
        <v>0</v>
      </c>
      <c r="T15" s="100">
        <f t="shared" si="3"/>
        <v>334</v>
      </c>
      <c r="U15" s="100">
        <f t="shared" si="3"/>
        <v>72183</v>
      </c>
      <c r="V15" s="100">
        <f t="shared" si="3"/>
        <v>0</v>
      </c>
      <c r="W15" s="100">
        <f t="shared" si="3"/>
        <v>1313158</v>
      </c>
      <c r="X15" s="43">
        <v>2003</v>
      </c>
    </row>
    <row r="16" spans="1:24" ht="12.75" customHeight="1" hidden="1">
      <c r="A16" s="43">
        <v>2004</v>
      </c>
      <c r="B16" s="99">
        <f>B94</f>
        <v>818480</v>
      </c>
      <c r="C16" s="99">
        <f aca="true" t="shared" si="4" ref="C16:W16">C94</f>
        <v>626112</v>
      </c>
      <c r="D16" s="99">
        <f t="shared" si="4"/>
        <v>76015</v>
      </c>
      <c r="E16" s="99">
        <f t="shared" si="4"/>
        <v>19217</v>
      </c>
      <c r="F16" s="99">
        <f t="shared" si="4"/>
        <v>0</v>
      </c>
      <c r="G16" s="99">
        <f t="shared" si="4"/>
        <v>0</v>
      </c>
      <c r="H16" s="99"/>
      <c r="I16" s="99">
        <f t="shared" si="4"/>
        <v>0</v>
      </c>
      <c r="J16" s="99">
        <f t="shared" si="4"/>
        <v>0</v>
      </c>
      <c r="K16" s="99">
        <f t="shared" si="4"/>
        <v>0</v>
      </c>
      <c r="L16" s="99"/>
      <c r="M16" s="99">
        <f t="shared" si="4"/>
        <v>530880</v>
      </c>
      <c r="N16" s="99">
        <f t="shared" si="4"/>
        <v>0</v>
      </c>
      <c r="O16" s="99">
        <f t="shared" si="4"/>
        <v>58312</v>
      </c>
      <c r="P16" s="99">
        <f t="shared" si="4"/>
        <v>13</v>
      </c>
      <c r="Q16" s="99">
        <f t="shared" si="4"/>
        <v>2125</v>
      </c>
      <c r="R16" s="99">
        <f t="shared" si="4"/>
        <v>3163</v>
      </c>
      <c r="S16" s="99">
        <f t="shared" si="4"/>
        <v>0</v>
      </c>
      <c r="T16" s="99">
        <f t="shared" si="4"/>
        <v>263</v>
      </c>
      <c r="U16" s="99">
        <f t="shared" si="4"/>
        <v>76907</v>
      </c>
      <c r="V16" s="99">
        <f t="shared" si="4"/>
        <v>0</v>
      </c>
      <c r="W16" s="99">
        <f t="shared" si="4"/>
        <v>1526458</v>
      </c>
      <c r="X16" s="43">
        <v>2004</v>
      </c>
    </row>
    <row r="17" spans="1:25" ht="12.75" hidden="1">
      <c r="A17" s="43">
        <v>2005</v>
      </c>
      <c r="B17" s="99">
        <f>B108</f>
        <v>934917</v>
      </c>
      <c r="C17" s="99">
        <f aca="true" t="shared" si="5" ref="C17:W17">C108</f>
        <v>591574</v>
      </c>
      <c r="D17" s="99">
        <f t="shared" si="5"/>
        <v>33095</v>
      </c>
      <c r="E17" s="99">
        <f t="shared" si="5"/>
        <v>28161</v>
      </c>
      <c r="F17" s="99">
        <f t="shared" si="5"/>
        <v>0</v>
      </c>
      <c r="G17" s="99">
        <f t="shared" si="5"/>
        <v>0</v>
      </c>
      <c r="H17" s="99"/>
      <c r="I17" s="99">
        <f t="shared" si="5"/>
        <v>0</v>
      </c>
      <c r="J17" s="99">
        <f t="shared" si="5"/>
        <v>0</v>
      </c>
      <c r="K17" s="99">
        <f t="shared" si="5"/>
        <v>0</v>
      </c>
      <c r="L17" s="99"/>
      <c r="M17" s="99">
        <f t="shared" si="5"/>
        <v>530318</v>
      </c>
      <c r="N17" s="99">
        <f t="shared" si="5"/>
        <v>0</v>
      </c>
      <c r="O17" s="99">
        <f t="shared" si="5"/>
        <v>-11793</v>
      </c>
      <c r="P17" s="99">
        <f t="shared" si="5"/>
        <v>13</v>
      </c>
      <c r="Q17" s="99">
        <f t="shared" si="5"/>
        <v>5595</v>
      </c>
      <c r="R17" s="99">
        <f t="shared" si="5"/>
        <v>3356</v>
      </c>
      <c r="S17" s="99">
        <f t="shared" si="5"/>
        <v>4875</v>
      </c>
      <c r="T17" s="99">
        <f t="shared" si="5"/>
        <v>261</v>
      </c>
      <c r="U17" s="99">
        <f t="shared" si="5"/>
        <v>56843</v>
      </c>
      <c r="V17" s="99">
        <f t="shared" si="5"/>
        <v>0</v>
      </c>
      <c r="W17" s="99">
        <f t="shared" si="5"/>
        <v>1597350</v>
      </c>
      <c r="X17" s="43">
        <v>2005</v>
      </c>
      <c r="Y17" s="99"/>
    </row>
    <row r="18" spans="1:25" ht="19.5" customHeight="1">
      <c r="A18" s="6">
        <v>2006</v>
      </c>
      <c r="B18" s="99">
        <f>B122</f>
        <v>1058747</v>
      </c>
      <c r="C18" s="99">
        <f aca="true" t="shared" si="6" ref="C18:V18">C122</f>
        <v>528204</v>
      </c>
      <c r="D18" s="99">
        <f t="shared" si="6"/>
        <v>40024</v>
      </c>
      <c r="E18" s="99">
        <f t="shared" si="6"/>
        <v>7947</v>
      </c>
      <c r="F18" s="99">
        <f t="shared" si="6"/>
        <v>0</v>
      </c>
      <c r="G18" s="99">
        <f t="shared" si="6"/>
        <v>0</v>
      </c>
      <c r="H18" s="99"/>
      <c r="I18" s="99">
        <f t="shared" si="6"/>
        <v>0</v>
      </c>
      <c r="J18" s="99">
        <f t="shared" si="6"/>
        <v>0</v>
      </c>
      <c r="K18" s="99">
        <f t="shared" si="6"/>
        <v>0</v>
      </c>
      <c r="L18" s="99"/>
      <c r="M18" s="99">
        <f t="shared" si="6"/>
        <v>480233</v>
      </c>
      <c r="N18" s="99">
        <f t="shared" si="6"/>
        <v>35421</v>
      </c>
      <c r="O18" s="99">
        <f t="shared" si="6"/>
        <v>34689</v>
      </c>
      <c r="P18" s="99">
        <f t="shared" si="6"/>
        <v>13</v>
      </c>
      <c r="Q18" s="99">
        <f t="shared" si="6"/>
        <v>2772</v>
      </c>
      <c r="R18" s="99">
        <f t="shared" si="6"/>
        <v>3136</v>
      </c>
      <c r="S18" s="99">
        <f t="shared" si="6"/>
        <v>4875</v>
      </c>
      <c r="T18" s="99">
        <f t="shared" si="6"/>
        <v>263</v>
      </c>
      <c r="U18" s="99">
        <f t="shared" si="6"/>
        <v>94300</v>
      </c>
      <c r="V18" s="99">
        <f t="shared" si="6"/>
        <v>0</v>
      </c>
      <c r="W18" s="99">
        <f>W122</f>
        <v>1777730</v>
      </c>
      <c r="X18" s="6">
        <v>2006</v>
      </c>
      <c r="Y18" s="99"/>
    </row>
    <row r="19" spans="1:25" ht="19.5" customHeight="1">
      <c r="A19" s="6">
        <v>2007</v>
      </c>
      <c r="B19" s="99">
        <f>B136</f>
        <v>1133933</v>
      </c>
      <c r="C19" s="99">
        <f aca="true" t="shared" si="7" ref="C19:W19">C136</f>
        <v>101247.2</v>
      </c>
      <c r="D19" s="99">
        <f t="shared" si="7"/>
        <v>72121</v>
      </c>
      <c r="E19" s="99">
        <f t="shared" si="7"/>
        <v>29126.2</v>
      </c>
      <c r="F19" s="99">
        <f t="shared" si="7"/>
        <v>0</v>
      </c>
      <c r="G19" s="99">
        <f t="shared" si="7"/>
        <v>0</v>
      </c>
      <c r="H19" s="99"/>
      <c r="I19" s="99">
        <f t="shared" si="7"/>
        <v>0</v>
      </c>
      <c r="J19" s="99">
        <f t="shared" si="7"/>
        <v>0</v>
      </c>
      <c r="K19" s="99">
        <f t="shared" si="7"/>
        <v>0</v>
      </c>
      <c r="L19" s="99"/>
      <c r="M19" s="99">
        <f t="shared" si="7"/>
        <v>0</v>
      </c>
      <c r="N19" s="99">
        <f t="shared" si="7"/>
        <v>23237</v>
      </c>
      <c r="O19" s="99">
        <f t="shared" si="7"/>
        <v>37953.98373833999</v>
      </c>
      <c r="P19" s="99">
        <f t="shared" si="7"/>
        <v>13.25670586</v>
      </c>
      <c r="Q19" s="99">
        <f t="shared" si="7"/>
        <v>2944.85208289</v>
      </c>
      <c r="R19" s="99">
        <f t="shared" si="7"/>
        <v>769.5747170300001</v>
      </c>
      <c r="S19" s="99">
        <f t="shared" si="7"/>
        <v>4875.170954</v>
      </c>
      <c r="T19" s="99">
        <f t="shared" si="7"/>
        <v>263.8906574</v>
      </c>
      <c r="U19" s="99">
        <f t="shared" si="7"/>
        <v>542153.42202937</v>
      </c>
      <c r="V19" s="99">
        <f t="shared" si="7"/>
        <v>0</v>
      </c>
      <c r="W19" s="99">
        <f t="shared" si="7"/>
        <v>1911937</v>
      </c>
      <c r="X19" s="6">
        <v>2007</v>
      </c>
      <c r="Y19" s="99"/>
    </row>
    <row r="20" spans="1:25" ht="19.5" customHeight="1">
      <c r="A20" s="6">
        <v>2008</v>
      </c>
      <c r="B20" s="99">
        <f>B150</f>
        <v>1145946.48682017</v>
      </c>
      <c r="C20" s="99">
        <f>C150</f>
        <v>53915.840905000005</v>
      </c>
      <c r="D20" s="99">
        <f aca="true" t="shared" si="8" ref="D20:W20">D150</f>
        <v>29427</v>
      </c>
      <c r="E20" s="99">
        <f t="shared" si="8"/>
        <v>24466.25</v>
      </c>
      <c r="F20" s="99">
        <f t="shared" si="8"/>
        <v>0</v>
      </c>
      <c r="G20" s="99">
        <f t="shared" si="8"/>
        <v>0</v>
      </c>
      <c r="H20" s="99"/>
      <c r="I20" s="99">
        <f t="shared" si="8"/>
        <v>0</v>
      </c>
      <c r="J20" s="99">
        <f t="shared" si="8"/>
        <v>0</v>
      </c>
      <c r="K20" s="99">
        <f t="shared" si="8"/>
        <v>0</v>
      </c>
      <c r="L20" s="99"/>
      <c r="M20" s="99">
        <f t="shared" si="8"/>
        <v>0</v>
      </c>
      <c r="N20" s="99">
        <f t="shared" si="8"/>
        <v>12300</v>
      </c>
      <c r="O20" s="99">
        <f t="shared" si="8"/>
        <v>39430.28721113</v>
      </c>
      <c r="P20" s="99">
        <f t="shared" si="8"/>
        <v>13.25670586</v>
      </c>
      <c r="Q20" s="99">
        <f t="shared" si="8"/>
        <v>7012.5443681100005</v>
      </c>
      <c r="R20" s="99">
        <f t="shared" si="8"/>
        <v>1505.5155354</v>
      </c>
      <c r="S20" s="99">
        <f t="shared" si="8"/>
        <v>4908.783454</v>
      </c>
      <c r="T20" s="99">
        <f t="shared" si="8"/>
        <v>267.09391684</v>
      </c>
      <c r="U20" s="99">
        <f t="shared" si="8"/>
        <v>484023.98514258</v>
      </c>
      <c r="V20" s="99">
        <f t="shared" si="8"/>
        <v>0</v>
      </c>
      <c r="W20" s="99">
        <f t="shared" si="8"/>
        <v>1859893.5068479597</v>
      </c>
      <c r="X20" s="6">
        <v>2008</v>
      </c>
      <c r="Y20" s="99"/>
    </row>
    <row r="21" spans="1:25" ht="19.5" customHeight="1">
      <c r="A21" s="6">
        <v>2009</v>
      </c>
      <c r="B21" s="99">
        <f>B164</f>
        <v>1930712.25106508</v>
      </c>
      <c r="C21" s="99">
        <f aca="true" t="shared" si="9" ref="C21:W21">C164</f>
        <v>166377.86551301</v>
      </c>
      <c r="D21" s="99">
        <f t="shared" si="9"/>
        <v>141687.7</v>
      </c>
      <c r="E21" s="99">
        <f t="shared" si="9"/>
        <v>24665.75</v>
      </c>
      <c r="F21" s="99">
        <f t="shared" si="9"/>
        <v>0</v>
      </c>
      <c r="G21" s="99">
        <f t="shared" si="9"/>
        <v>0</v>
      </c>
      <c r="H21" s="99"/>
      <c r="I21" s="99">
        <f t="shared" si="9"/>
        <v>0</v>
      </c>
      <c r="J21" s="99">
        <f t="shared" si="9"/>
        <v>0</v>
      </c>
      <c r="K21" s="99">
        <f t="shared" si="9"/>
        <v>0</v>
      </c>
      <c r="L21" s="99"/>
      <c r="M21" s="99">
        <f t="shared" si="9"/>
        <v>0</v>
      </c>
      <c r="N21" s="99">
        <f t="shared" si="9"/>
        <v>22774.7</v>
      </c>
      <c r="O21" s="99">
        <f t="shared" si="9"/>
        <v>144030</v>
      </c>
      <c r="P21" s="99">
        <f t="shared" si="9"/>
        <v>13</v>
      </c>
      <c r="Q21" s="99">
        <f t="shared" si="9"/>
        <v>6909.50256943</v>
      </c>
      <c r="R21" s="99">
        <f t="shared" si="9"/>
        <v>5986.57462098</v>
      </c>
      <c r="S21" s="99">
        <f t="shared" si="9"/>
        <v>5034.07121648</v>
      </c>
      <c r="T21" s="99">
        <f t="shared" si="9"/>
        <v>267.8248366</v>
      </c>
      <c r="U21" s="99">
        <f t="shared" si="9"/>
        <v>370761.26547291</v>
      </c>
      <c r="V21" s="99">
        <f t="shared" si="9"/>
        <v>0</v>
      </c>
      <c r="W21" s="99">
        <f t="shared" si="9"/>
        <v>2821337.31200035</v>
      </c>
      <c r="X21" s="6">
        <v>2009</v>
      </c>
      <c r="Y21" s="99"/>
    </row>
    <row r="22" spans="1:25" ht="19.5" customHeight="1">
      <c r="A22" s="6">
        <v>2010</v>
      </c>
      <c r="B22" s="99">
        <f>B178</f>
        <v>2129342</v>
      </c>
      <c r="C22" s="99">
        <f aca="true" t="shared" si="10" ref="C22:W22">C178</f>
        <v>338251</v>
      </c>
      <c r="D22" s="99">
        <f t="shared" si="10"/>
        <v>139954</v>
      </c>
      <c r="E22" s="99">
        <f t="shared" si="10"/>
        <v>20592</v>
      </c>
      <c r="F22" s="99">
        <f t="shared" si="10"/>
        <v>0</v>
      </c>
      <c r="G22" s="99">
        <f t="shared" si="10"/>
        <v>0</v>
      </c>
      <c r="H22" s="99"/>
      <c r="I22" s="99">
        <f t="shared" si="10"/>
        <v>177694</v>
      </c>
      <c r="J22" s="99">
        <f t="shared" si="10"/>
        <v>0</v>
      </c>
      <c r="K22" s="99">
        <f t="shared" si="10"/>
        <v>0</v>
      </c>
      <c r="L22" s="99"/>
      <c r="M22" s="99">
        <f t="shared" si="10"/>
        <v>0</v>
      </c>
      <c r="N22" s="99">
        <f t="shared" si="10"/>
        <v>9435</v>
      </c>
      <c r="O22" s="99">
        <f t="shared" si="10"/>
        <v>320650.22313046</v>
      </c>
      <c r="P22" s="99">
        <f t="shared" si="10"/>
        <v>13</v>
      </c>
      <c r="Q22" s="99">
        <f t="shared" si="10"/>
        <v>6872</v>
      </c>
      <c r="R22" s="99">
        <f t="shared" si="10"/>
        <v>21695</v>
      </c>
      <c r="S22" s="99">
        <f t="shared" si="10"/>
        <v>4963</v>
      </c>
      <c r="T22" s="99">
        <f t="shared" si="10"/>
        <v>282</v>
      </c>
      <c r="U22" s="99">
        <f t="shared" si="10"/>
        <v>186338</v>
      </c>
      <c r="V22" s="99">
        <f t="shared" si="10"/>
        <v>0</v>
      </c>
      <c r="W22" s="99">
        <f t="shared" si="10"/>
        <v>3187192</v>
      </c>
      <c r="X22" s="6">
        <v>2010</v>
      </c>
      <c r="Y22" s="99"/>
    </row>
    <row r="23" spans="1:25" ht="19.5" customHeight="1">
      <c r="A23" s="6">
        <v>2011</v>
      </c>
      <c r="B23" s="99">
        <f>B192</f>
        <v>2353224</v>
      </c>
      <c r="C23" s="99">
        <f>C192</f>
        <v>534990.99027778</v>
      </c>
      <c r="D23" s="99">
        <f aca="true" t="shared" si="11" ref="D23:W23">D192</f>
        <v>117357</v>
      </c>
      <c r="E23" s="99">
        <f t="shared" si="11"/>
        <v>11008.65</v>
      </c>
      <c r="F23" s="99">
        <f t="shared" si="11"/>
        <v>280000</v>
      </c>
      <c r="G23" s="99">
        <f t="shared" si="11"/>
        <v>77516</v>
      </c>
      <c r="H23" s="99"/>
      <c r="I23" s="99">
        <f t="shared" si="11"/>
        <v>26886</v>
      </c>
      <c r="J23" s="99">
        <f t="shared" si="11"/>
        <v>0</v>
      </c>
      <c r="K23" s="99">
        <f t="shared" si="11"/>
        <v>0</v>
      </c>
      <c r="L23" s="99"/>
      <c r="M23" s="99">
        <f t="shared" si="11"/>
        <v>0</v>
      </c>
      <c r="N23" s="99">
        <f t="shared" si="11"/>
        <v>15079</v>
      </c>
      <c r="O23" s="99">
        <f t="shared" si="11"/>
        <v>519779.99027778</v>
      </c>
      <c r="P23" s="99">
        <f t="shared" si="11"/>
        <v>13</v>
      </c>
      <c r="Q23" s="99">
        <f t="shared" si="11"/>
        <v>6854</v>
      </c>
      <c r="R23" s="99">
        <f t="shared" si="11"/>
        <v>5859</v>
      </c>
      <c r="S23" s="99">
        <f t="shared" si="11"/>
        <v>4962</v>
      </c>
      <c r="T23" s="99">
        <f t="shared" si="11"/>
        <v>282.12012612</v>
      </c>
      <c r="U23" s="99">
        <f t="shared" si="11"/>
        <v>173248</v>
      </c>
      <c r="V23" s="99">
        <f t="shared" si="11"/>
        <v>0</v>
      </c>
      <c r="W23" s="99">
        <f t="shared" si="11"/>
        <v>3079434</v>
      </c>
      <c r="X23" s="6">
        <v>2011</v>
      </c>
      <c r="Y23" s="99"/>
    </row>
    <row r="24" spans="1:24" s="227" customFormat="1" ht="15" customHeight="1">
      <c r="A24" s="6">
        <v>2012</v>
      </c>
      <c r="B24" s="99">
        <f>B206</f>
        <v>2518711.46096302</v>
      </c>
      <c r="C24" s="99">
        <f aca="true" t="shared" si="12" ref="C24:W24">C206</f>
        <v>440711.93888007</v>
      </c>
      <c r="D24" s="99">
        <f t="shared" si="12"/>
        <v>15351.05</v>
      </c>
      <c r="E24" s="99">
        <f t="shared" si="12"/>
        <v>19693.70000000001</v>
      </c>
      <c r="F24" s="99">
        <f t="shared" si="12"/>
        <v>264430</v>
      </c>
      <c r="G24" s="99">
        <f t="shared" si="12"/>
        <v>77516</v>
      </c>
      <c r="H24" s="99"/>
      <c r="I24" s="99">
        <f t="shared" si="12"/>
        <v>48116.79</v>
      </c>
      <c r="J24" s="99">
        <f t="shared" si="12"/>
        <v>0</v>
      </c>
      <c r="K24" s="99">
        <f t="shared" si="12"/>
        <v>0</v>
      </c>
      <c r="L24" s="99"/>
      <c r="M24" s="99">
        <f t="shared" si="12"/>
        <v>0</v>
      </c>
      <c r="N24" s="99">
        <f t="shared" si="12"/>
        <v>0</v>
      </c>
      <c r="O24" s="99">
        <f t="shared" si="12"/>
        <v>416116.20368247</v>
      </c>
      <c r="P24" s="99">
        <f t="shared" si="12"/>
        <v>13.25670586</v>
      </c>
      <c r="Q24" s="99">
        <f t="shared" si="12"/>
        <v>8583.78641211</v>
      </c>
      <c r="R24" s="99">
        <f t="shared" si="12"/>
        <v>13677.029970299998</v>
      </c>
      <c r="S24" s="99">
        <f t="shared" si="12"/>
        <v>4962</v>
      </c>
      <c r="T24" s="99">
        <f t="shared" si="12"/>
        <v>281.12251987</v>
      </c>
      <c r="U24" s="99">
        <f t="shared" si="12"/>
        <v>216094.34664481</v>
      </c>
      <c r="V24" s="99">
        <f t="shared" si="12"/>
        <v>0</v>
      </c>
      <c r="W24" s="99">
        <f t="shared" si="12"/>
        <v>3203035.02555004</v>
      </c>
      <c r="X24" s="6">
        <v>2012</v>
      </c>
    </row>
    <row r="25" spans="1:25" ht="19.5" customHeight="1">
      <c r="A25" s="6">
        <v>2013</v>
      </c>
      <c r="B25" s="99">
        <v>2780186</v>
      </c>
      <c r="C25" s="99">
        <v>458505</v>
      </c>
      <c r="D25" s="99">
        <v>91620</v>
      </c>
      <c r="E25" s="99">
        <v>7346</v>
      </c>
      <c r="F25" s="99">
        <v>264430</v>
      </c>
      <c r="G25" s="99">
        <v>77516</v>
      </c>
      <c r="H25" s="99"/>
      <c r="I25" s="99">
        <v>1285</v>
      </c>
      <c r="J25" s="99">
        <v>0</v>
      </c>
      <c r="K25" s="99">
        <v>0</v>
      </c>
      <c r="L25" s="99"/>
      <c r="M25" s="99">
        <v>0</v>
      </c>
      <c r="N25" s="99">
        <v>0</v>
      </c>
      <c r="O25" s="99">
        <v>429194</v>
      </c>
      <c r="P25" s="99">
        <v>13</v>
      </c>
      <c r="Q25" s="99">
        <v>12810</v>
      </c>
      <c r="R25" s="99">
        <v>9406</v>
      </c>
      <c r="S25" s="99">
        <v>4962</v>
      </c>
      <c r="T25" s="99">
        <v>338</v>
      </c>
      <c r="U25" s="99">
        <v>158036</v>
      </c>
      <c r="V25" s="99">
        <v>0</v>
      </c>
      <c r="W25" s="99">
        <v>3424255</v>
      </c>
      <c r="X25" s="6">
        <v>2013</v>
      </c>
      <c r="Y25" s="99"/>
    </row>
    <row r="26" spans="1:24" ht="12.75" hidden="1">
      <c r="A26" s="6">
        <v>2000</v>
      </c>
      <c r="B26" s="123"/>
      <c r="C26" s="99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96"/>
      <c r="P26" s="123"/>
      <c r="Q26" s="123"/>
      <c r="R26" s="123"/>
      <c r="S26" s="123"/>
      <c r="T26" s="123"/>
      <c r="U26" s="123"/>
      <c r="V26" s="123"/>
      <c r="W26" s="96"/>
      <c r="X26" s="6">
        <v>2010</v>
      </c>
    </row>
    <row r="27" spans="1:24" ht="12.75" hidden="1">
      <c r="A27" s="6" t="s">
        <v>187</v>
      </c>
      <c r="B27" s="123">
        <v>436754</v>
      </c>
      <c r="C27" s="99">
        <v>500215</v>
      </c>
      <c r="D27" s="123">
        <v>17445</v>
      </c>
      <c r="E27" s="123">
        <v>1386</v>
      </c>
      <c r="F27" s="123"/>
      <c r="G27" s="123"/>
      <c r="H27" s="123"/>
      <c r="I27" s="123">
        <v>82998</v>
      </c>
      <c r="J27" s="123"/>
      <c r="K27" s="123"/>
      <c r="L27" s="123"/>
      <c r="M27" s="123">
        <v>398386</v>
      </c>
      <c r="N27" s="123"/>
      <c r="O27" s="96" t="e">
        <f>C27-'9b-Liab'!#REF!-'9a-Assets'!M27</f>
        <v>#REF!</v>
      </c>
      <c r="P27" s="123">
        <v>13</v>
      </c>
      <c r="Q27" s="123">
        <v>2228</v>
      </c>
      <c r="R27" s="123">
        <v>1153</v>
      </c>
      <c r="S27" s="123">
        <v>23</v>
      </c>
      <c r="T27" s="123">
        <v>24</v>
      </c>
      <c r="U27" s="123">
        <v>19133</v>
      </c>
      <c r="V27" s="123">
        <v>161395</v>
      </c>
      <c r="W27" s="96"/>
      <c r="X27" s="6">
        <v>2010</v>
      </c>
    </row>
    <row r="28" spans="1:24" ht="12.75" hidden="1">
      <c r="A28" s="6" t="s">
        <v>188</v>
      </c>
      <c r="B28" s="123">
        <v>426914</v>
      </c>
      <c r="C28" s="99">
        <v>571855</v>
      </c>
      <c r="D28" s="123">
        <v>24316</v>
      </c>
      <c r="E28" s="123">
        <v>1764</v>
      </c>
      <c r="F28" s="123"/>
      <c r="G28" s="123"/>
      <c r="H28" s="123"/>
      <c r="I28" s="123">
        <v>89926</v>
      </c>
      <c r="J28" s="123"/>
      <c r="K28" s="123"/>
      <c r="L28" s="123"/>
      <c r="M28" s="123">
        <v>455849</v>
      </c>
      <c r="N28" s="123"/>
      <c r="O28" s="96" t="e">
        <f>C28-'9b-Liab'!#REF!-'9a-Assets'!M28</f>
        <v>#REF!</v>
      </c>
      <c r="P28" s="123">
        <v>58</v>
      </c>
      <c r="Q28" s="123">
        <v>2638</v>
      </c>
      <c r="R28" s="123">
        <v>804</v>
      </c>
      <c r="S28" s="123">
        <v>0</v>
      </c>
      <c r="T28" s="123">
        <v>25</v>
      </c>
      <c r="U28" s="123">
        <v>19779</v>
      </c>
      <c r="V28" s="123">
        <v>163154</v>
      </c>
      <c r="W28" s="96"/>
      <c r="X28" s="6">
        <v>2010</v>
      </c>
    </row>
    <row r="29" spans="1:24" ht="12.75" hidden="1">
      <c r="A29" s="6" t="s">
        <v>189</v>
      </c>
      <c r="B29" s="123">
        <v>408305</v>
      </c>
      <c r="C29" s="99">
        <v>552325</v>
      </c>
      <c r="D29" s="123">
        <v>24260</v>
      </c>
      <c r="E29" s="123">
        <v>2166</v>
      </c>
      <c r="F29" s="123"/>
      <c r="G29" s="123"/>
      <c r="H29" s="123"/>
      <c r="I29" s="123">
        <v>70050</v>
      </c>
      <c r="J29" s="123"/>
      <c r="K29" s="123"/>
      <c r="L29" s="123"/>
      <c r="M29" s="123">
        <v>455849</v>
      </c>
      <c r="N29" s="123"/>
      <c r="O29" s="96" t="e">
        <f>C29-'9b-Liab'!#REF!-'9a-Assets'!M29</f>
        <v>#REF!</v>
      </c>
      <c r="P29" s="123">
        <v>13</v>
      </c>
      <c r="Q29" s="123">
        <v>1295</v>
      </c>
      <c r="R29" s="123">
        <v>495</v>
      </c>
      <c r="S29" s="123">
        <v>0</v>
      </c>
      <c r="T29" s="123">
        <v>47</v>
      </c>
      <c r="U29" s="123">
        <v>20738</v>
      </c>
      <c r="V29" s="123">
        <v>156196</v>
      </c>
      <c r="W29" s="96"/>
      <c r="X29" s="6">
        <v>2010</v>
      </c>
    </row>
    <row r="30" spans="1:24" ht="12.75" hidden="1">
      <c r="A30" s="6" t="s">
        <v>190</v>
      </c>
      <c r="B30" s="123">
        <v>358780</v>
      </c>
      <c r="C30" s="99">
        <v>541205</v>
      </c>
      <c r="D30" s="123">
        <v>19343</v>
      </c>
      <c r="E30" s="123">
        <v>2304</v>
      </c>
      <c r="F30" s="123"/>
      <c r="G30" s="123"/>
      <c r="H30" s="123"/>
      <c r="I30" s="123">
        <v>63709</v>
      </c>
      <c r="J30" s="123"/>
      <c r="K30" s="123"/>
      <c r="L30" s="123"/>
      <c r="M30" s="123">
        <v>455849</v>
      </c>
      <c r="N30" s="123"/>
      <c r="O30" s="96" t="e">
        <f>C30-'9b-Liab'!#REF!-'9a-Assets'!M30</f>
        <v>#REF!</v>
      </c>
      <c r="P30" s="123">
        <v>13</v>
      </c>
      <c r="Q30" s="123">
        <v>1290</v>
      </c>
      <c r="R30" s="123">
        <v>705</v>
      </c>
      <c r="S30" s="123">
        <v>0</v>
      </c>
      <c r="T30" s="123">
        <v>347</v>
      </c>
      <c r="U30" s="123">
        <v>21264</v>
      </c>
      <c r="V30" s="123">
        <v>132563</v>
      </c>
      <c r="W30" s="96"/>
      <c r="X30" s="6">
        <v>2010</v>
      </c>
    </row>
    <row r="31" spans="1:24" ht="12.75" hidden="1">
      <c r="A31" s="6" t="s">
        <v>29</v>
      </c>
      <c r="B31" s="123">
        <v>348912</v>
      </c>
      <c r="C31" s="99">
        <v>552931</v>
      </c>
      <c r="D31" s="123">
        <v>5231</v>
      </c>
      <c r="E31" s="123">
        <v>2382</v>
      </c>
      <c r="F31" s="123"/>
      <c r="G31" s="123"/>
      <c r="H31" s="123"/>
      <c r="I31" s="123">
        <v>90680</v>
      </c>
      <c r="J31" s="123"/>
      <c r="K31" s="123"/>
      <c r="L31" s="123"/>
      <c r="M31" s="123">
        <v>454638</v>
      </c>
      <c r="N31" s="123"/>
      <c r="O31" s="96" t="e">
        <f>C31-'9b-Liab'!#REF!-'9a-Assets'!M31</f>
        <v>#REF!</v>
      </c>
      <c r="P31" s="123">
        <v>13</v>
      </c>
      <c r="Q31" s="123">
        <v>1136</v>
      </c>
      <c r="R31" s="123">
        <v>495</v>
      </c>
      <c r="S31" s="123">
        <v>0</v>
      </c>
      <c r="T31" s="123">
        <v>521</v>
      </c>
      <c r="U31" s="123">
        <v>20945</v>
      </c>
      <c r="V31" s="123">
        <v>127224</v>
      </c>
      <c r="W31" s="96"/>
      <c r="X31" s="6">
        <v>2010</v>
      </c>
    </row>
    <row r="32" spans="1:24" ht="12.75" hidden="1">
      <c r="A32" s="6" t="s">
        <v>191</v>
      </c>
      <c r="B32" s="123">
        <v>350789</v>
      </c>
      <c r="C32" s="99">
        <v>626054</v>
      </c>
      <c r="D32" s="123">
        <v>2483</v>
      </c>
      <c r="E32" s="123">
        <v>4453</v>
      </c>
      <c r="F32" s="123"/>
      <c r="G32" s="123"/>
      <c r="H32" s="123"/>
      <c r="I32" s="123">
        <v>86448</v>
      </c>
      <c r="J32" s="123"/>
      <c r="K32" s="123"/>
      <c r="L32" s="123"/>
      <c r="M32" s="123">
        <v>532670</v>
      </c>
      <c r="N32" s="123"/>
      <c r="O32" s="96" t="e">
        <f>C32-'9b-Liab'!#REF!-'9a-Assets'!M32</f>
        <v>#REF!</v>
      </c>
      <c r="P32" s="123">
        <v>13</v>
      </c>
      <c r="Q32" s="123">
        <v>1564</v>
      </c>
      <c r="R32" s="123">
        <v>1245</v>
      </c>
      <c r="S32" s="123">
        <v>0</v>
      </c>
      <c r="T32" s="123">
        <v>1019</v>
      </c>
      <c r="U32" s="123">
        <v>20716</v>
      </c>
      <c r="V32" s="123">
        <v>143483</v>
      </c>
      <c r="W32" s="96"/>
      <c r="X32" s="6">
        <v>2010</v>
      </c>
    </row>
    <row r="33" spans="1:24" ht="12.75" hidden="1">
      <c r="A33" s="6" t="s">
        <v>192</v>
      </c>
      <c r="B33" s="123">
        <v>356974</v>
      </c>
      <c r="C33" s="99">
        <v>640291</v>
      </c>
      <c r="D33" s="123">
        <v>5589</v>
      </c>
      <c r="E33" s="123">
        <v>3061</v>
      </c>
      <c r="F33" s="123"/>
      <c r="G33" s="123"/>
      <c r="H33" s="123"/>
      <c r="I33" s="123">
        <v>98971</v>
      </c>
      <c r="J33" s="123"/>
      <c r="K33" s="123"/>
      <c r="L33" s="123"/>
      <c r="M33" s="123">
        <v>532670</v>
      </c>
      <c r="N33" s="123"/>
      <c r="O33" s="96" t="e">
        <f>C33-'9b-Liab'!#REF!-'9a-Assets'!M33</f>
        <v>#REF!</v>
      </c>
      <c r="P33" s="123">
        <v>13</v>
      </c>
      <c r="Q33" s="123">
        <v>1511</v>
      </c>
      <c r="R33" s="123">
        <v>1280</v>
      </c>
      <c r="S33" s="123">
        <v>0</v>
      </c>
      <c r="T33" s="123">
        <v>751</v>
      </c>
      <c r="U33" s="123">
        <v>21016</v>
      </c>
      <c r="V33" s="123">
        <v>155627</v>
      </c>
      <c r="W33" s="96"/>
      <c r="X33" s="6">
        <v>2010</v>
      </c>
    </row>
    <row r="34" spans="1:24" ht="12.75" hidden="1">
      <c r="A34" s="6" t="s">
        <v>193</v>
      </c>
      <c r="B34" s="123">
        <v>354911</v>
      </c>
      <c r="C34" s="99">
        <v>638757</v>
      </c>
      <c r="D34" s="123">
        <v>6913</v>
      </c>
      <c r="E34" s="123">
        <v>3259</v>
      </c>
      <c r="F34" s="123"/>
      <c r="G34" s="123"/>
      <c r="H34" s="123"/>
      <c r="I34" s="123">
        <v>95915</v>
      </c>
      <c r="J34" s="123"/>
      <c r="K34" s="123"/>
      <c r="L34" s="123"/>
      <c r="M34" s="123">
        <v>532670</v>
      </c>
      <c r="N34" s="123"/>
      <c r="O34" s="96" t="e">
        <f>C34-'9b-Liab'!#REF!-'9a-Assets'!M34</f>
        <v>#REF!</v>
      </c>
      <c r="P34" s="123">
        <v>13</v>
      </c>
      <c r="Q34" s="123">
        <v>1443</v>
      </c>
      <c r="R34" s="123">
        <v>630</v>
      </c>
      <c r="S34" s="123">
        <v>0</v>
      </c>
      <c r="T34" s="123">
        <v>546</v>
      </c>
      <c r="U34" s="123">
        <v>21076</v>
      </c>
      <c r="V34" s="123">
        <v>138888</v>
      </c>
      <c r="W34" s="96"/>
      <c r="X34" s="6">
        <v>2010</v>
      </c>
    </row>
    <row r="35" spans="1:24" ht="12.75" hidden="1">
      <c r="A35" s="6" t="s">
        <v>194</v>
      </c>
      <c r="B35" s="123">
        <v>344386</v>
      </c>
      <c r="C35" s="99">
        <v>651685</v>
      </c>
      <c r="D35" s="123">
        <v>12396</v>
      </c>
      <c r="E35" s="123">
        <v>2667</v>
      </c>
      <c r="F35" s="123"/>
      <c r="G35" s="123"/>
      <c r="H35" s="123"/>
      <c r="I35" s="123">
        <v>103952</v>
      </c>
      <c r="J35" s="123"/>
      <c r="K35" s="123"/>
      <c r="L35" s="123"/>
      <c r="M35" s="123">
        <v>532670</v>
      </c>
      <c r="N35" s="123"/>
      <c r="O35" s="96" t="e">
        <f>C35-'9b-Liab'!#REF!-'9a-Assets'!M35</f>
        <v>#REF!</v>
      </c>
      <c r="P35" s="123">
        <v>13</v>
      </c>
      <c r="Q35" s="123">
        <v>1266</v>
      </c>
      <c r="R35" s="123">
        <v>1161</v>
      </c>
      <c r="S35" s="123">
        <v>0</v>
      </c>
      <c r="T35" s="123">
        <v>507</v>
      </c>
      <c r="U35" s="123">
        <v>21340</v>
      </c>
      <c r="V35" s="123">
        <v>134957</v>
      </c>
      <c r="W35" s="96"/>
      <c r="X35" s="6">
        <v>2010</v>
      </c>
    </row>
    <row r="36" spans="1:24" ht="12.75" hidden="1">
      <c r="A36" s="6" t="s">
        <v>195</v>
      </c>
      <c r="B36" s="123">
        <v>340900</v>
      </c>
      <c r="C36" s="99">
        <v>637788</v>
      </c>
      <c r="D36" s="123">
        <v>8043</v>
      </c>
      <c r="E36" s="123">
        <v>2943</v>
      </c>
      <c r="F36" s="123"/>
      <c r="G36" s="123"/>
      <c r="H36" s="123"/>
      <c r="I36" s="123">
        <v>94132</v>
      </c>
      <c r="J36" s="123"/>
      <c r="K36" s="123"/>
      <c r="L36" s="123"/>
      <c r="M36" s="123">
        <v>532670</v>
      </c>
      <c r="N36" s="123"/>
      <c r="O36" s="96" t="e">
        <f>C36-'9b-Liab'!#REF!-'9a-Assets'!M36</f>
        <v>#REF!</v>
      </c>
      <c r="P36" s="123">
        <v>13</v>
      </c>
      <c r="Q36" s="123">
        <v>1910</v>
      </c>
      <c r="R36" s="123">
        <v>308</v>
      </c>
      <c r="S36" s="123">
        <v>0</v>
      </c>
      <c r="T36" s="123">
        <v>342</v>
      </c>
      <c r="U36" s="123">
        <v>24547</v>
      </c>
      <c r="V36" s="123">
        <v>128074</v>
      </c>
      <c r="W36" s="96"/>
      <c r="X36" s="6">
        <v>2010</v>
      </c>
    </row>
    <row r="37" spans="1:24" ht="12.75" hidden="1">
      <c r="A37" s="6" t="s">
        <v>196</v>
      </c>
      <c r="B37" s="123">
        <v>295121</v>
      </c>
      <c r="C37" s="99">
        <v>654709</v>
      </c>
      <c r="D37" s="123">
        <v>7896</v>
      </c>
      <c r="E37" s="123">
        <v>2611</v>
      </c>
      <c r="F37" s="123"/>
      <c r="G37" s="123"/>
      <c r="H37" s="123"/>
      <c r="I37" s="123">
        <v>111532</v>
      </c>
      <c r="J37" s="123"/>
      <c r="K37" s="123"/>
      <c r="L37" s="123"/>
      <c r="M37" s="123">
        <v>532670</v>
      </c>
      <c r="N37" s="123"/>
      <c r="O37" s="96" t="e">
        <f>C37-'9b-Liab'!#REF!-'9a-Assets'!M37</f>
        <v>#REF!</v>
      </c>
      <c r="P37" s="123">
        <v>13</v>
      </c>
      <c r="Q37" s="123">
        <v>1156</v>
      </c>
      <c r="R37" s="123">
        <v>1128</v>
      </c>
      <c r="S37" s="123">
        <v>0</v>
      </c>
      <c r="T37" s="123">
        <v>699</v>
      </c>
      <c r="U37" s="123">
        <v>25122</v>
      </c>
      <c r="V37" s="123">
        <v>115036</v>
      </c>
      <c r="W37" s="96"/>
      <c r="X37" s="6">
        <v>2010</v>
      </c>
    </row>
    <row r="38" spans="1:24" ht="12.75" hidden="1">
      <c r="A38" s="6" t="s">
        <v>197</v>
      </c>
      <c r="B38" s="123">
        <v>307868</v>
      </c>
      <c r="C38" s="99">
        <v>629198</v>
      </c>
      <c r="D38" s="123">
        <v>3954</v>
      </c>
      <c r="E38" s="123">
        <v>2045</v>
      </c>
      <c r="F38" s="123"/>
      <c r="G38" s="123"/>
      <c r="H38" s="123"/>
      <c r="I38" s="123">
        <v>90529</v>
      </c>
      <c r="J38" s="123"/>
      <c r="K38" s="123"/>
      <c r="L38" s="123"/>
      <c r="M38" s="123">
        <v>532670</v>
      </c>
      <c r="N38" s="123"/>
      <c r="O38" s="96" t="e">
        <f>C38-'9b-Liab'!#REF!-'9a-Assets'!M38</f>
        <v>#REF!</v>
      </c>
      <c r="P38" s="123">
        <v>13</v>
      </c>
      <c r="Q38" s="123">
        <v>1008</v>
      </c>
      <c r="R38" s="123">
        <v>606</v>
      </c>
      <c r="S38" s="123">
        <v>0</v>
      </c>
      <c r="T38" s="123">
        <v>853</v>
      </c>
      <c r="U38" s="123">
        <v>25457</v>
      </c>
      <c r="V38" s="123">
        <v>105381</v>
      </c>
      <c r="W38" s="96"/>
      <c r="X38" s="6">
        <v>2010</v>
      </c>
    </row>
    <row r="39" ht="12.75" hidden="1"/>
    <row r="40" spans="1:24" ht="12.75" hidden="1">
      <c r="A40" s="43">
        <v>2001</v>
      </c>
      <c r="O40" s="96"/>
      <c r="W40" s="96"/>
      <c r="X40" s="43">
        <v>2001</v>
      </c>
    </row>
    <row r="41" spans="1:24" ht="12.75" hidden="1">
      <c r="A41" s="43" t="s">
        <v>25</v>
      </c>
      <c r="B41" s="100">
        <v>345203</v>
      </c>
      <c r="C41" s="133">
        <v>602888</v>
      </c>
      <c r="D41" s="109">
        <v>589</v>
      </c>
      <c r="E41" s="100">
        <v>4697</v>
      </c>
      <c r="F41" s="100"/>
      <c r="G41" s="100"/>
      <c r="H41" s="100"/>
      <c r="I41" s="100">
        <v>64933</v>
      </c>
      <c r="J41" s="100"/>
      <c r="K41" s="100"/>
      <c r="L41" s="100"/>
      <c r="M41" s="100">
        <v>532670</v>
      </c>
      <c r="N41" s="109"/>
      <c r="O41" s="96" t="e">
        <f>C41-'9b-Liab'!#REF!-'9a-Assets'!M41</f>
        <v>#REF!</v>
      </c>
      <c r="P41" s="100">
        <v>13</v>
      </c>
      <c r="Q41" s="100">
        <v>1488</v>
      </c>
      <c r="R41" s="100">
        <v>1539</v>
      </c>
      <c r="S41" s="100">
        <v>0</v>
      </c>
      <c r="T41" s="100">
        <v>918</v>
      </c>
      <c r="U41" s="100">
        <v>23693</v>
      </c>
      <c r="V41" s="100">
        <v>107207</v>
      </c>
      <c r="W41" s="96">
        <f>B41+C41+P41+Q41+R41+T41+U41+V41</f>
        <v>1082949</v>
      </c>
      <c r="X41" s="44" t="s">
        <v>25</v>
      </c>
    </row>
    <row r="42" spans="1:24" ht="12.75" hidden="1">
      <c r="A42" s="43" t="s">
        <v>26</v>
      </c>
      <c r="B42" s="100">
        <v>352045</v>
      </c>
      <c r="C42" s="133">
        <v>609081</v>
      </c>
      <c r="D42" s="100">
        <v>2146</v>
      </c>
      <c r="E42" s="100">
        <v>5280</v>
      </c>
      <c r="F42" s="100"/>
      <c r="G42" s="100"/>
      <c r="H42" s="100"/>
      <c r="I42" s="100">
        <v>68985</v>
      </c>
      <c r="J42" s="100"/>
      <c r="K42" s="100"/>
      <c r="L42" s="100"/>
      <c r="M42" s="100">
        <v>532670</v>
      </c>
      <c r="N42" s="100"/>
      <c r="O42" s="96" t="e">
        <f>C42-'9b-Liab'!#REF!-'9a-Assets'!M42</f>
        <v>#REF!</v>
      </c>
      <c r="P42" s="100">
        <v>13</v>
      </c>
      <c r="Q42" s="100">
        <v>1647</v>
      </c>
      <c r="R42" s="100">
        <v>1345</v>
      </c>
      <c r="S42" s="100">
        <v>0</v>
      </c>
      <c r="T42" s="100">
        <v>2090</v>
      </c>
      <c r="U42" s="100">
        <v>23693</v>
      </c>
      <c r="V42" s="100">
        <v>116714</v>
      </c>
      <c r="W42" s="96">
        <f>B42+C42+P42+Q42+R42+T42+U42+V42</f>
        <v>1106628</v>
      </c>
      <c r="X42" s="44" t="s">
        <v>26</v>
      </c>
    </row>
    <row r="43" spans="1:24" ht="12.75" hidden="1">
      <c r="A43" s="43" t="s">
        <v>114</v>
      </c>
      <c r="B43" s="100">
        <v>339748</v>
      </c>
      <c r="C43" s="133">
        <v>616737</v>
      </c>
      <c r="D43" s="100">
        <v>15580</v>
      </c>
      <c r="E43" s="100">
        <v>2280</v>
      </c>
      <c r="F43" s="100"/>
      <c r="G43" s="100"/>
      <c r="H43" s="100"/>
      <c r="I43" s="100">
        <v>66851</v>
      </c>
      <c r="J43" s="100"/>
      <c r="K43" s="100"/>
      <c r="L43" s="100"/>
      <c r="M43" s="100">
        <v>532025</v>
      </c>
      <c r="N43" s="100"/>
      <c r="O43" s="96" t="e">
        <f>C43-'9b-Liab'!#REF!-'9a-Assets'!M43</f>
        <v>#REF!</v>
      </c>
      <c r="P43" s="100">
        <v>13</v>
      </c>
      <c r="Q43" s="100">
        <v>1614</v>
      </c>
      <c r="R43" s="100">
        <v>626</v>
      </c>
      <c r="S43" s="100">
        <v>12</v>
      </c>
      <c r="T43" s="100">
        <v>2184</v>
      </c>
      <c r="U43" s="100">
        <v>33267</v>
      </c>
      <c r="V43" s="100">
        <v>119332</v>
      </c>
      <c r="W43" s="96">
        <v>1113533</v>
      </c>
      <c r="X43" s="43" t="s">
        <v>114</v>
      </c>
    </row>
    <row r="44" spans="1:24" ht="12.75" hidden="1">
      <c r="A44" s="43" t="s">
        <v>28</v>
      </c>
      <c r="B44" s="100">
        <v>332928</v>
      </c>
      <c r="C44" s="133">
        <v>630910</v>
      </c>
      <c r="D44" s="100">
        <v>16226</v>
      </c>
      <c r="E44" s="100">
        <v>6817</v>
      </c>
      <c r="F44" s="100"/>
      <c r="G44" s="100"/>
      <c r="H44" s="100"/>
      <c r="I44" s="100">
        <v>75842</v>
      </c>
      <c r="J44" s="100"/>
      <c r="K44" s="100"/>
      <c r="L44" s="100"/>
      <c r="M44" s="100">
        <v>532025</v>
      </c>
      <c r="N44" s="100"/>
      <c r="O44" s="96" t="e">
        <f>C44-'9b-Liab'!#REF!-'9a-Assets'!M44</f>
        <v>#REF!</v>
      </c>
      <c r="P44" s="100">
        <v>13</v>
      </c>
      <c r="Q44" s="100">
        <v>1933</v>
      </c>
      <c r="R44" s="100">
        <v>1771</v>
      </c>
      <c r="S44" s="100">
        <v>0</v>
      </c>
      <c r="T44" s="100">
        <v>2409</v>
      </c>
      <c r="U44" s="100">
        <v>33486</v>
      </c>
      <c r="V44" s="100">
        <v>119824</v>
      </c>
      <c r="W44" s="96">
        <f>B44+C44+P44+Q44+R44+T44+U44+V44</f>
        <v>1123274</v>
      </c>
      <c r="X44" s="44" t="s">
        <v>28</v>
      </c>
    </row>
    <row r="45" spans="1:24" ht="12.75" hidden="1">
      <c r="A45" s="43" t="s">
        <v>29</v>
      </c>
      <c r="B45" s="100">
        <v>319362</v>
      </c>
      <c r="C45" s="133">
        <v>640664</v>
      </c>
      <c r="D45" s="100">
        <v>16986</v>
      </c>
      <c r="E45" s="100">
        <v>5431</v>
      </c>
      <c r="F45" s="100"/>
      <c r="G45" s="100"/>
      <c r="H45" s="100"/>
      <c r="I45" s="100">
        <v>86221</v>
      </c>
      <c r="J45" s="100"/>
      <c r="K45" s="100"/>
      <c r="L45" s="100"/>
      <c r="M45" s="100">
        <v>532025</v>
      </c>
      <c r="N45" s="100"/>
      <c r="O45" s="96" t="e">
        <f>C45-'9b-Liab'!#REF!-'9a-Assets'!M45</f>
        <v>#REF!</v>
      </c>
      <c r="P45" s="100">
        <v>13</v>
      </c>
      <c r="Q45" s="100">
        <v>2076</v>
      </c>
      <c r="R45" s="100">
        <v>308</v>
      </c>
      <c r="S45" s="100">
        <v>0</v>
      </c>
      <c r="T45" s="100">
        <v>2185</v>
      </c>
      <c r="U45" s="100">
        <v>32681</v>
      </c>
      <c r="V45" s="100">
        <v>120969</v>
      </c>
      <c r="W45" s="96">
        <f>B45+C45+P45+Q45+R45+T45+U45+V45</f>
        <v>1118258</v>
      </c>
      <c r="X45" s="44" t="s">
        <v>29</v>
      </c>
    </row>
    <row r="46" spans="1:24" ht="12.75" hidden="1">
      <c r="A46" s="43" t="s">
        <v>86</v>
      </c>
      <c r="B46" s="100">
        <v>321947</v>
      </c>
      <c r="C46" s="133">
        <v>629926</v>
      </c>
      <c r="D46" s="100">
        <v>9646</v>
      </c>
      <c r="E46" s="100">
        <v>5095</v>
      </c>
      <c r="F46" s="100"/>
      <c r="G46" s="100"/>
      <c r="H46" s="100"/>
      <c r="I46" s="100">
        <v>83159</v>
      </c>
      <c r="J46" s="100"/>
      <c r="K46" s="100"/>
      <c r="L46" s="100"/>
      <c r="M46" s="100">
        <v>532025</v>
      </c>
      <c r="N46" s="100"/>
      <c r="O46" s="96" t="e">
        <f>C46-'9b-Liab'!#REF!-'9a-Assets'!M46</f>
        <v>#REF!</v>
      </c>
      <c r="P46" s="100">
        <v>13</v>
      </c>
      <c r="Q46" s="100">
        <v>1961</v>
      </c>
      <c r="R46" s="100">
        <v>1716</v>
      </c>
      <c r="S46" s="100">
        <v>0</v>
      </c>
      <c r="T46" s="100">
        <v>1496</v>
      </c>
      <c r="U46" s="100">
        <v>34178</v>
      </c>
      <c r="V46" s="100">
        <v>123253</v>
      </c>
      <c r="W46" s="96">
        <v>1114490</v>
      </c>
      <c r="X46" s="44" t="s">
        <v>86</v>
      </c>
    </row>
    <row r="47" spans="1:24" ht="12.75" hidden="1">
      <c r="A47" s="43" t="s">
        <v>31</v>
      </c>
      <c r="B47" s="100">
        <v>333299</v>
      </c>
      <c r="C47" s="133">
        <v>642456</v>
      </c>
      <c r="D47" s="100">
        <v>9153</v>
      </c>
      <c r="E47" s="100">
        <v>4866</v>
      </c>
      <c r="F47" s="100"/>
      <c r="G47" s="100"/>
      <c r="H47" s="100"/>
      <c r="I47" s="100">
        <v>96412</v>
      </c>
      <c r="J47" s="100"/>
      <c r="K47" s="100"/>
      <c r="L47" s="100"/>
      <c r="M47" s="100">
        <v>532025</v>
      </c>
      <c r="N47" s="100"/>
      <c r="O47" s="96" t="e">
        <f>C47-'9b-Liab'!#REF!-'9a-Assets'!M47</f>
        <v>#REF!</v>
      </c>
      <c r="P47" s="100">
        <v>13</v>
      </c>
      <c r="Q47" s="100">
        <v>2133</v>
      </c>
      <c r="R47" s="100">
        <v>1856</v>
      </c>
      <c r="S47" s="100">
        <v>0</v>
      </c>
      <c r="T47" s="100">
        <v>620</v>
      </c>
      <c r="U47" s="100">
        <v>34619</v>
      </c>
      <c r="V47" s="100">
        <v>148875</v>
      </c>
      <c r="W47" s="96">
        <f>B47+C47+P47+Q47+R47+T47+U47+V47</f>
        <v>1163871</v>
      </c>
      <c r="X47" s="44" t="s">
        <v>31</v>
      </c>
    </row>
    <row r="48" spans="1:24" ht="12.75" hidden="1">
      <c r="A48" s="43" t="s">
        <v>32</v>
      </c>
      <c r="B48" s="100">
        <v>342091</v>
      </c>
      <c r="C48" s="133">
        <v>631851</v>
      </c>
      <c r="D48" s="100">
        <v>12461</v>
      </c>
      <c r="E48" s="100">
        <v>3972</v>
      </c>
      <c r="F48" s="100"/>
      <c r="G48" s="100"/>
      <c r="H48" s="100"/>
      <c r="I48" s="100">
        <v>83392</v>
      </c>
      <c r="J48" s="100"/>
      <c r="K48" s="100"/>
      <c r="L48" s="100"/>
      <c r="M48" s="100">
        <v>532025</v>
      </c>
      <c r="N48" s="100"/>
      <c r="O48" s="96" t="e">
        <f>C48-'9b-Liab'!#REF!-'9a-Assets'!M48</f>
        <v>#REF!</v>
      </c>
      <c r="P48" s="100">
        <v>13</v>
      </c>
      <c r="Q48" s="100">
        <v>2329</v>
      </c>
      <c r="R48" s="100">
        <v>308</v>
      </c>
      <c r="S48" s="100">
        <v>0</v>
      </c>
      <c r="T48" s="100">
        <v>590</v>
      </c>
      <c r="U48" s="100">
        <v>40288</v>
      </c>
      <c r="V48" s="100">
        <v>101067</v>
      </c>
      <c r="W48" s="96">
        <f>B48+C48+P48+Q48+R48+T48+U48+V48</f>
        <v>1118537</v>
      </c>
      <c r="X48" s="44" t="s">
        <v>32</v>
      </c>
    </row>
    <row r="49" spans="1:24" ht="12.75" hidden="1">
      <c r="A49" s="43" t="s">
        <v>87</v>
      </c>
      <c r="B49" s="100">
        <v>354413</v>
      </c>
      <c r="C49" s="133">
        <v>640456</v>
      </c>
      <c r="D49" s="100">
        <v>17336</v>
      </c>
      <c r="E49" s="100">
        <v>4416</v>
      </c>
      <c r="F49" s="100"/>
      <c r="G49" s="100"/>
      <c r="H49" s="100"/>
      <c r="I49" s="100">
        <v>86680</v>
      </c>
      <c r="J49" s="100"/>
      <c r="K49" s="100"/>
      <c r="L49" s="100"/>
      <c r="M49" s="100">
        <v>532025</v>
      </c>
      <c r="N49" s="100"/>
      <c r="O49" s="96" t="e">
        <f>C49-'9b-Liab'!#REF!-'9a-Assets'!M49</f>
        <v>#REF!</v>
      </c>
      <c r="P49" s="100">
        <v>13</v>
      </c>
      <c r="Q49" s="100">
        <v>2425</v>
      </c>
      <c r="R49" s="100">
        <v>2122</v>
      </c>
      <c r="S49" s="100">
        <v>0</v>
      </c>
      <c r="T49" s="100">
        <v>595</v>
      </c>
      <c r="U49" s="100">
        <v>40983</v>
      </c>
      <c r="V49" s="100">
        <v>101978</v>
      </c>
      <c r="W49" s="96">
        <v>1142985</v>
      </c>
      <c r="X49" s="44" t="s">
        <v>87</v>
      </c>
    </row>
    <row r="50" spans="1:24" ht="12.75" hidden="1">
      <c r="A50" s="43" t="s">
        <v>35</v>
      </c>
      <c r="B50" s="100">
        <v>340200</v>
      </c>
      <c r="C50" s="133">
        <v>652142</v>
      </c>
      <c r="D50" s="100">
        <v>22659</v>
      </c>
      <c r="E50" s="100">
        <v>4859</v>
      </c>
      <c r="F50" s="100"/>
      <c r="G50" s="100"/>
      <c r="H50" s="100"/>
      <c r="I50" s="100">
        <v>92588</v>
      </c>
      <c r="J50" s="100"/>
      <c r="K50" s="100"/>
      <c r="L50" s="100"/>
      <c r="M50" s="100">
        <v>532025</v>
      </c>
      <c r="N50" s="100"/>
      <c r="O50" s="96" t="e">
        <f>C50-'9b-Liab'!#REF!-'9a-Assets'!M50</f>
        <v>#REF!</v>
      </c>
      <c r="P50" s="109">
        <v>13</v>
      </c>
      <c r="Q50" s="100">
        <v>2575</v>
      </c>
      <c r="R50" s="100">
        <v>1495</v>
      </c>
      <c r="S50" s="109">
        <v>0</v>
      </c>
      <c r="T50" s="109">
        <v>597</v>
      </c>
      <c r="U50" s="100">
        <v>45636</v>
      </c>
      <c r="V50" s="100">
        <v>102924</v>
      </c>
      <c r="W50" s="96">
        <f>B50+C50+P50+Q50+R50+T50+U50+V50</f>
        <v>1145582</v>
      </c>
      <c r="X50" s="43" t="s">
        <v>35</v>
      </c>
    </row>
    <row r="51" spans="1:24" ht="12.75" hidden="1">
      <c r="A51" s="43" t="s">
        <v>36</v>
      </c>
      <c r="B51" s="100">
        <v>362629</v>
      </c>
      <c r="C51" s="133">
        <v>663399</v>
      </c>
      <c r="D51" s="100">
        <v>27550</v>
      </c>
      <c r="E51" s="100">
        <v>5219</v>
      </c>
      <c r="F51" s="100"/>
      <c r="G51" s="100"/>
      <c r="H51" s="100"/>
      <c r="I51" s="100">
        <v>98603</v>
      </c>
      <c r="J51" s="100"/>
      <c r="K51" s="100"/>
      <c r="L51" s="100"/>
      <c r="M51" s="100">
        <v>532025</v>
      </c>
      <c r="N51" s="100"/>
      <c r="O51" s="96" t="e">
        <f>C51-'9b-Liab'!#REF!-'9a-Assets'!M51</f>
        <v>#REF!</v>
      </c>
      <c r="P51" s="109">
        <v>13</v>
      </c>
      <c r="Q51" s="100">
        <v>2722</v>
      </c>
      <c r="R51" s="100">
        <v>1268</v>
      </c>
      <c r="S51" s="109">
        <v>0</v>
      </c>
      <c r="T51" s="109">
        <v>625</v>
      </c>
      <c r="U51" s="100">
        <v>45937</v>
      </c>
      <c r="V51" s="100">
        <v>105719</v>
      </c>
      <c r="W51" s="96">
        <f>B51+C51+P51+Q51+R51+T51+U51+V51</f>
        <v>1182312</v>
      </c>
      <c r="X51" s="43" t="s">
        <v>36</v>
      </c>
    </row>
    <row r="52" spans="1:24" ht="12.75" hidden="1">
      <c r="A52" s="43" t="s">
        <v>88</v>
      </c>
      <c r="B52" s="100">
        <v>395502</v>
      </c>
      <c r="C52" s="133">
        <v>647403</v>
      </c>
      <c r="D52" s="100">
        <v>30175</v>
      </c>
      <c r="E52" s="100">
        <v>5691</v>
      </c>
      <c r="F52" s="100"/>
      <c r="G52" s="100"/>
      <c r="H52" s="100"/>
      <c r="I52" s="100">
        <v>79510</v>
      </c>
      <c r="J52" s="100"/>
      <c r="K52" s="100"/>
      <c r="L52" s="100"/>
      <c r="M52" s="100">
        <v>532025</v>
      </c>
      <c r="N52" s="100"/>
      <c r="O52" s="96" t="e">
        <f>C52-'9b-Liab'!#REF!-'9a-Assets'!M52</f>
        <v>#REF!</v>
      </c>
      <c r="P52" s="109">
        <v>13</v>
      </c>
      <c r="Q52" s="100">
        <v>1969</v>
      </c>
      <c r="R52" s="109">
        <v>969</v>
      </c>
      <c r="S52" s="109">
        <v>0</v>
      </c>
      <c r="T52" s="109">
        <v>520</v>
      </c>
      <c r="U52" s="100">
        <v>49575</v>
      </c>
      <c r="V52" s="100">
        <v>106936</v>
      </c>
      <c r="W52" s="96">
        <v>1202886</v>
      </c>
      <c r="X52" s="43" t="s">
        <v>88</v>
      </c>
    </row>
    <row r="53" spans="2:23" ht="12.75" customHeight="1" hidden="1">
      <c r="B53" s="109"/>
      <c r="C53" s="153"/>
      <c r="D53" s="109"/>
      <c r="E53" s="109"/>
      <c r="F53" s="109"/>
      <c r="G53" s="109"/>
      <c r="H53" s="109"/>
      <c r="I53" s="109"/>
      <c r="J53" s="109"/>
      <c r="K53" s="109"/>
      <c r="L53" s="109"/>
      <c r="M53" s="100"/>
      <c r="N53" s="109"/>
      <c r="P53" s="109"/>
      <c r="Q53" s="109"/>
      <c r="R53" s="109"/>
      <c r="S53" s="109"/>
      <c r="T53" s="109"/>
      <c r="U53" s="109"/>
      <c r="V53" s="109"/>
      <c r="W53" s="96"/>
    </row>
    <row r="54" spans="1:24" ht="12.75" customHeight="1" hidden="1">
      <c r="A54" s="6">
        <v>2002</v>
      </c>
      <c r="B54" s="109"/>
      <c r="C54" s="153"/>
      <c r="D54" s="109"/>
      <c r="E54" s="109"/>
      <c r="F54" s="109"/>
      <c r="G54" s="109"/>
      <c r="H54" s="109"/>
      <c r="I54" s="109"/>
      <c r="J54" s="109"/>
      <c r="K54" s="109"/>
      <c r="L54" s="109"/>
      <c r="M54" s="100"/>
      <c r="N54" s="109"/>
      <c r="P54" s="109"/>
      <c r="Q54" s="109"/>
      <c r="R54" s="109"/>
      <c r="S54" s="109"/>
      <c r="T54" s="109"/>
      <c r="U54" s="109"/>
      <c r="V54" s="109"/>
      <c r="W54" s="96"/>
      <c r="X54" s="43">
        <v>2002</v>
      </c>
    </row>
    <row r="55" spans="1:24" ht="12.75" customHeight="1" hidden="1">
      <c r="A55" s="6" t="s">
        <v>25</v>
      </c>
      <c r="B55" s="100">
        <v>367329</v>
      </c>
      <c r="C55" s="133">
        <v>635688</v>
      </c>
      <c r="D55" s="100">
        <v>27116</v>
      </c>
      <c r="E55" s="154">
        <v>6293</v>
      </c>
      <c r="F55" s="154"/>
      <c r="G55" s="154"/>
      <c r="H55" s="154"/>
      <c r="I55" s="154">
        <v>70253</v>
      </c>
      <c r="J55" s="154"/>
      <c r="K55" s="154"/>
      <c r="L55" s="154"/>
      <c r="M55" s="100">
        <v>532025</v>
      </c>
      <c r="N55" s="100"/>
      <c r="O55" s="96">
        <f>C55-'9b-Liab'!J81-'9a-Assets'!M55</f>
        <v>90717</v>
      </c>
      <c r="P55" s="109">
        <v>13</v>
      </c>
      <c r="Q55" s="100">
        <v>2803</v>
      </c>
      <c r="R55" s="100">
        <v>2197</v>
      </c>
      <c r="S55" s="109">
        <v>0</v>
      </c>
      <c r="T55" s="109">
        <v>501</v>
      </c>
      <c r="U55" s="142">
        <v>44167</v>
      </c>
      <c r="V55" s="100">
        <v>105059</v>
      </c>
      <c r="W55" s="96">
        <f>B55+C55+P55+Q55+R55+T55+U55+V55</f>
        <v>1157757</v>
      </c>
      <c r="X55" s="43" t="s">
        <v>25</v>
      </c>
    </row>
    <row r="56" spans="1:24" ht="12.75" customHeight="1" hidden="1">
      <c r="A56" s="6" t="s">
        <v>26</v>
      </c>
      <c r="B56" s="100">
        <v>363388</v>
      </c>
      <c r="C56" s="133">
        <v>652289</v>
      </c>
      <c r="D56" s="100">
        <v>31781</v>
      </c>
      <c r="E56" s="154">
        <v>8194</v>
      </c>
      <c r="F56" s="154"/>
      <c r="G56" s="154"/>
      <c r="H56" s="154"/>
      <c r="I56" s="154">
        <v>80290</v>
      </c>
      <c r="J56" s="154"/>
      <c r="K56" s="154"/>
      <c r="L56" s="154"/>
      <c r="M56" s="100">
        <v>532025</v>
      </c>
      <c r="N56" s="100"/>
      <c r="O56" s="96">
        <f>C56-'9b-Liab'!J82-'9a-Assets'!M56</f>
        <v>105886</v>
      </c>
      <c r="P56" s="109">
        <v>13</v>
      </c>
      <c r="Q56" s="100">
        <v>3313</v>
      </c>
      <c r="R56" s="100">
        <v>1394</v>
      </c>
      <c r="S56" s="109">
        <v>0</v>
      </c>
      <c r="T56" s="109">
        <v>504</v>
      </c>
      <c r="U56" s="142">
        <v>43525</v>
      </c>
      <c r="V56" s="100">
        <v>106517</v>
      </c>
      <c r="W56" s="96">
        <f>B56+C56+P56+Q56+R56+T56+U56+V56</f>
        <v>1170943</v>
      </c>
      <c r="X56" s="43" t="s">
        <v>26</v>
      </c>
    </row>
    <row r="57" spans="1:24" ht="12.75" customHeight="1" hidden="1">
      <c r="A57" s="43" t="s">
        <v>114</v>
      </c>
      <c r="B57" s="100">
        <v>390734</v>
      </c>
      <c r="C57" s="133">
        <v>663721</v>
      </c>
      <c r="D57" s="100">
        <v>43588</v>
      </c>
      <c r="E57" s="154">
        <v>10426</v>
      </c>
      <c r="F57" s="154"/>
      <c r="G57" s="154"/>
      <c r="H57" s="154"/>
      <c r="I57" s="123">
        <v>77682</v>
      </c>
      <c r="J57" s="123"/>
      <c r="K57" s="123"/>
      <c r="L57" s="123"/>
      <c r="M57" s="100">
        <v>532025</v>
      </c>
      <c r="N57" s="100"/>
      <c r="O57" s="96">
        <f>C57-'9b-Liab'!J83-'9a-Assets'!M57</f>
        <v>118750</v>
      </c>
      <c r="P57" s="109">
        <v>13</v>
      </c>
      <c r="Q57" s="100">
        <v>3709</v>
      </c>
      <c r="R57" s="100">
        <v>1351</v>
      </c>
      <c r="S57" s="109">
        <v>0</v>
      </c>
      <c r="T57" s="109">
        <v>542</v>
      </c>
      <c r="U57" s="142">
        <v>42931</v>
      </c>
      <c r="V57" s="100">
        <v>107103</v>
      </c>
      <c r="W57" s="96">
        <v>1210105</v>
      </c>
      <c r="X57" s="43" t="s">
        <v>114</v>
      </c>
    </row>
    <row r="58" spans="1:24" ht="12.75" customHeight="1" hidden="1">
      <c r="A58" s="43" t="s">
        <v>28</v>
      </c>
      <c r="B58" s="100">
        <v>389710</v>
      </c>
      <c r="C58" s="133">
        <v>663574</v>
      </c>
      <c r="D58" s="100">
        <v>30482</v>
      </c>
      <c r="E58" s="154">
        <v>10083</v>
      </c>
      <c r="F58" s="154"/>
      <c r="G58" s="154"/>
      <c r="H58" s="154"/>
      <c r="I58" s="100">
        <v>90984</v>
      </c>
      <c r="J58" s="100"/>
      <c r="K58" s="100"/>
      <c r="L58" s="100"/>
      <c r="M58" s="100">
        <v>532025</v>
      </c>
      <c r="N58" s="100"/>
      <c r="O58" s="96">
        <f>C58-'9b-Liab'!J84-'9a-Assets'!M58</f>
        <v>89984</v>
      </c>
      <c r="P58" s="109">
        <v>13</v>
      </c>
      <c r="Q58" s="100">
        <v>3976</v>
      </c>
      <c r="R58" s="100">
        <v>1637</v>
      </c>
      <c r="S58" s="109">
        <v>0</v>
      </c>
      <c r="T58" s="109">
        <v>547</v>
      </c>
      <c r="U58" s="142">
        <v>45403</v>
      </c>
      <c r="V58" s="100">
        <v>423720</v>
      </c>
      <c r="W58" s="96">
        <f>B58+C58+P58+Q58+R58+T58+U58+V58</f>
        <v>1528580</v>
      </c>
      <c r="X58" s="43" t="s">
        <v>28</v>
      </c>
    </row>
    <row r="59" spans="1:24" ht="12.75" customHeight="1" hidden="1">
      <c r="A59" s="43" t="s">
        <v>29</v>
      </c>
      <c r="B59" s="100">
        <v>359605</v>
      </c>
      <c r="C59" s="133">
        <v>681422</v>
      </c>
      <c r="D59" s="100">
        <v>33928</v>
      </c>
      <c r="E59" s="154">
        <v>9766</v>
      </c>
      <c r="F59" s="154"/>
      <c r="G59" s="154"/>
      <c r="H59" s="154"/>
      <c r="I59" s="103">
        <v>105703</v>
      </c>
      <c r="J59" s="103"/>
      <c r="K59" s="103"/>
      <c r="L59" s="103"/>
      <c r="M59" s="100">
        <v>532025</v>
      </c>
      <c r="N59" s="100"/>
      <c r="O59" s="96">
        <f>C59-'9b-Liab'!J85-'9a-Assets'!M59</f>
        <v>109718</v>
      </c>
      <c r="P59" s="109">
        <v>13</v>
      </c>
      <c r="Q59" s="100">
        <v>4343</v>
      </c>
      <c r="R59" s="100">
        <v>1935</v>
      </c>
      <c r="S59" s="109">
        <v>0</v>
      </c>
      <c r="T59" s="109">
        <v>498</v>
      </c>
      <c r="U59" s="142">
        <v>45267</v>
      </c>
      <c r="V59" s="100">
        <v>100197</v>
      </c>
      <c r="W59" s="96">
        <f>B59+C59+P59+Q59+R59+T59+U59+V59</f>
        <v>1193280</v>
      </c>
      <c r="X59" s="43" t="s">
        <v>29</v>
      </c>
    </row>
    <row r="60" spans="1:24" ht="12.75" customHeight="1" hidden="1">
      <c r="A60" s="43" t="s">
        <v>86</v>
      </c>
      <c r="B60" s="103">
        <v>361660</v>
      </c>
      <c r="C60" s="99">
        <v>692447</v>
      </c>
      <c r="D60" s="103">
        <v>38592</v>
      </c>
      <c r="E60" s="142">
        <v>9588</v>
      </c>
      <c r="F60" s="142"/>
      <c r="G60" s="142"/>
      <c r="H60" s="142"/>
      <c r="I60" s="100">
        <v>112242</v>
      </c>
      <c r="J60" s="100"/>
      <c r="K60" s="100"/>
      <c r="L60" s="100"/>
      <c r="M60" s="100">
        <v>532025</v>
      </c>
      <c r="N60" s="103"/>
      <c r="O60" s="96">
        <f>C60-'9b-Liab'!J86-'9a-Assets'!M60</f>
        <v>113753</v>
      </c>
      <c r="P60" s="111">
        <v>13</v>
      </c>
      <c r="Q60" s="103">
        <v>4668</v>
      </c>
      <c r="R60" s="103">
        <v>2333</v>
      </c>
      <c r="S60" s="111">
        <v>0</v>
      </c>
      <c r="T60" s="111">
        <v>589</v>
      </c>
      <c r="U60" s="142">
        <v>37492</v>
      </c>
      <c r="V60" s="103">
        <v>109494</v>
      </c>
      <c r="W60" s="96">
        <v>1208698</v>
      </c>
      <c r="X60" s="43" t="s">
        <v>86</v>
      </c>
    </row>
    <row r="61" spans="1:24" ht="12.75" customHeight="1" hidden="1">
      <c r="A61" s="43" t="s">
        <v>31</v>
      </c>
      <c r="B61" s="103">
        <v>368122</v>
      </c>
      <c r="C61" s="99">
        <v>696366</v>
      </c>
      <c r="D61" s="103">
        <v>31116</v>
      </c>
      <c r="E61" s="142">
        <v>9654</v>
      </c>
      <c r="F61" s="142"/>
      <c r="G61" s="142"/>
      <c r="H61" s="142"/>
      <c r="I61" s="123">
        <v>123570</v>
      </c>
      <c r="J61" s="123"/>
      <c r="K61" s="123"/>
      <c r="L61" s="123"/>
      <c r="M61" s="100">
        <v>532025</v>
      </c>
      <c r="N61" s="103"/>
      <c r="O61" s="96">
        <f>C61-'9b-Liab'!J87-'9a-Assets'!M61</f>
        <v>111799</v>
      </c>
      <c r="P61" s="111">
        <v>13</v>
      </c>
      <c r="Q61" s="103">
        <v>4889</v>
      </c>
      <c r="R61" s="103">
        <v>1536</v>
      </c>
      <c r="S61" s="111">
        <v>0</v>
      </c>
      <c r="T61" s="111">
        <v>539</v>
      </c>
      <c r="U61" s="142">
        <v>54875</v>
      </c>
      <c r="V61" s="103">
        <v>110009</v>
      </c>
      <c r="W61" s="96">
        <f>B61+C61+P61+Q61+R61+T61+U61+V61</f>
        <v>1236349</v>
      </c>
      <c r="X61" s="43" t="s">
        <v>31</v>
      </c>
    </row>
    <row r="62" spans="1:24" ht="12.75" customHeight="1" hidden="1">
      <c r="A62" s="43" t="s">
        <v>32</v>
      </c>
      <c r="B62" s="103">
        <v>360058</v>
      </c>
      <c r="C62" s="99">
        <v>697463</v>
      </c>
      <c r="D62" s="103">
        <v>27174</v>
      </c>
      <c r="E62" s="142">
        <v>9404</v>
      </c>
      <c r="F62" s="142"/>
      <c r="G62" s="142"/>
      <c r="H62" s="142"/>
      <c r="I62" s="100">
        <v>128860</v>
      </c>
      <c r="J62" s="100"/>
      <c r="K62" s="100"/>
      <c r="L62" s="100"/>
      <c r="M62" s="100">
        <v>532025</v>
      </c>
      <c r="N62" s="103"/>
      <c r="O62" s="96">
        <f>C62-'9b-Liab'!J88-'9a-Assets'!M62</f>
        <v>117577</v>
      </c>
      <c r="P62" s="111">
        <v>13</v>
      </c>
      <c r="Q62" s="103">
        <v>5114</v>
      </c>
      <c r="R62" s="103">
        <v>3221</v>
      </c>
      <c r="S62" s="111">
        <v>0</v>
      </c>
      <c r="T62" s="111">
        <v>169</v>
      </c>
      <c r="U62" s="142">
        <v>58099</v>
      </c>
      <c r="V62" s="103">
        <v>110293</v>
      </c>
      <c r="W62" s="96">
        <f>B62+C62+P62+Q62+R62+T62+U62+V62</f>
        <v>1234430</v>
      </c>
      <c r="X62" s="43" t="s">
        <v>32</v>
      </c>
    </row>
    <row r="63" spans="1:24" ht="12.75" customHeight="1" hidden="1">
      <c r="A63" s="43" t="s">
        <v>87</v>
      </c>
      <c r="B63" s="103">
        <v>357844</v>
      </c>
      <c r="C63" s="99">
        <v>710097</v>
      </c>
      <c r="D63" s="103">
        <v>34073</v>
      </c>
      <c r="E63" s="142">
        <v>8334</v>
      </c>
      <c r="F63" s="142"/>
      <c r="G63" s="142"/>
      <c r="H63" s="142"/>
      <c r="I63" s="103">
        <v>135664</v>
      </c>
      <c r="J63" s="103"/>
      <c r="K63" s="103"/>
      <c r="L63" s="103"/>
      <c r="M63" s="100">
        <v>532025</v>
      </c>
      <c r="N63" s="103"/>
      <c r="O63" s="96">
        <f>C63-'9b-Liab'!J89-'9a-Assets'!M63</f>
        <v>106189</v>
      </c>
      <c r="P63" s="111">
        <v>13</v>
      </c>
      <c r="Q63" s="103">
        <v>5386</v>
      </c>
      <c r="R63" s="103">
        <v>1766</v>
      </c>
      <c r="S63" s="111">
        <v>0</v>
      </c>
      <c r="T63" s="111">
        <v>426</v>
      </c>
      <c r="U63" s="142">
        <v>59444</v>
      </c>
      <c r="V63" s="103">
        <v>111080</v>
      </c>
      <c r="W63" s="96">
        <v>1246055</v>
      </c>
      <c r="X63" s="43" t="s">
        <v>87</v>
      </c>
    </row>
    <row r="64" spans="1:24" ht="12.75" customHeight="1" hidden="1">
      <c r="A64" s="43" t="s">
        <v>35</v>
      </c>
      <c r="B64" s="103">
        <v>423182</v>
      </c>
      <c r="C64" s="99">
        <v>703988</v>
      </c>
      <c r="D64" s="103">
        <v>26972</v>
      </c>
      <c r="E64" s="142">
        <v>10008</v>
      </c>
      <c r="F64" s="142"/>
      <c r="G64" s="142"/>
      <c r="H64" s="142"/>
      <c r="I64" s="100">
        <v>134983</v>
      </c>
      <c r="J64" s="100"/>
      <c r="K64" s="100"/>
      <c r="L64" s="100"/>
      <c r="M64" s="100">
        <v>532025</v>
      </c>
      <c r="N64" s="103"/>
      <c r="O64" s="96">
        <f>C64-'9b-Liab'!J90-'9a-Assets'!M64</f>
        <v>92692</v>
      </c>
      <c r="P64" s="111">
        <v>13</v>
      </c>
      <c r="Q64" s="103">
        <v>5606</v>
      </c>
      <c r="R64" s="103">
        <v>2493</v>
      </c>
      <c r="S64" s="111">
        <v>0</v>
      </c>
      <c r="T64" s="111">
        <v>174</v>
      </c>
      <c r="U64" s="142">
        <v>57336</v>
      </c>
      <c r="V64" s="103">
        <v>112517</v>
      </c>
      <c r="W64" s="96">
        <f>B64+C64+P64+Q64+R64+T64+U64+V64</f>
        <v>1305309</v>
      </c>
      <c r="X64" s="43" t="s">
        <v>35</v>
      </c>
    </row>
    <row r="65" spans="1:24" ht="12.75" customHeight="1" hidden="1">
      <c r="A65" s="43" t="s">
        <v>36</v>
      </c>
      <c r="B65" s="103">
        <v>440585</v>
      </c>
      <c r="C65" s="99">
        <v>697545</v>
      </c>
      <c r="D65" s="103">
        <v>23850</v>
      </c>
      <c r="E65" s="142">
        <v>10276</v>
      </c>
      <c r="F65" s="142"/>
      <c r="G65" s="142"/>
      <c r="H65" s="142"/>
      <c r="I65" s="123">
        <v>131415</v>
      </c>
      <c r="J65" s="123"/>
      <c r="K65" s="123"/>
      <c r="L65" s="123"/>
      <c r="M65" s="100">
        <v>532025</v>
      </c>
      <c r="N65" s="103"/>
      <c r="O65" s="96">
        <f>C65-'9b-Liab'!J91-'9a-Assets'!M65</f>
        <v>93003</v>
      </c>
      <c r="P65" s="111">
        <v>13</v>
      </c>
      <c r="Q65" s="103">
        <v>5785</v>
      </c>
      <c r="R65" s="103">
        <v>670</v>
      </c>
      <c r="S65" s="111">
        <v>0</v>
      </c>
      <c r="T65" s="111">
        <v>101</v>
      </c>
      <c r="U65" s="142">
        <v>58538</v>
      </c>
      <c r="V65" s="103">
        <v>117629</v>
      </c>
      <c r="W65" s="96">
        <f>B65+C65+P65+Q65+R65+T65+U65+V65</f>
        <v>1320866</v>
      </c>
      <c r="X65" s="43" t="s">
        <v>36</v>
      </c>
    </row>
    <row r="66" spans="1:24" ht="12.75" customHeight="1" hidden="1">
      <c r="A66" s="43" t="s">
        <v>88</v>
      </c>
      <c r="B66" s="103">
        <v>495481</v>
      </c>
      <c r="C66" s="99">
        <v>652002</v>
      </c>
      <c r="D66" s="103">
        <v>33597</v>
      </c>
      <c r="E66" s="142">
        <v>12101</v>
      </c>
      <c r="F66" s="142"/>
      <c r="G66" s="142"/>
      <c r="H66" s="142"/>
      <c r="I66" s="100">
        <v>74279</v>
      </c>
      <c r="J66" s="100"/>
      <c r="K66" s="100"/>
      <c r="L66" s="100"/>
      <c r="M66" s="100">
        <v>532025</v>
      </c>
      <c r="N66" s="103"/>
      <c r="O66" s="96">
        <v>53598</v>
      </c>
      <c r="P66" s="111">
        <v>13</v>
      </c>
      <c r="Q66" s="103">
        <v>6161</v>
      </c>
      <c r="R66" s="103">
        <v>278</v>
      </c>
      <c r="S66" s="111">
        <v>0</v>
      </c>
      <c r="T66" s="111">
        <v>102</v>
      </c>
      <c r="U66" s="142">
        <v>57664</v>
      </c>
      <c r="V66" s="103">
        <v>121351</v>
      </c>
      <c r="W66" s="96">
        <v>1333052</v>
      </c>
      <c r="X66" s="43" t="s">
        <v>88</v>
      </c>
    </row>
    <row r="67" spans="1:24" s="112" customFormat="1" ht="12.75" customHeight="1" hidden="1">
      <c r="A67" s="111"/>
      <c r="B67" s="111"/>
      <c r="C67" s="152"/>
      <c r="D67" s="111"/>
      <c r="E67" s="154"/>
      <c r="F67" s="154"/>
      <c r="G67" s="154"/>
      <c r="H67" s="154"/>
      <c r="I67" s="142"/>
      <c r="J67" s="142"/>
      <c r="K67" s="142"/>
      <c r="L67" s="142"/>
      <c r="M67" s="100"/>
      <c r="N67" s="111"/>
      <c r="O67" s="96"/>
      <c r="P67" s="111"/>
      <c r="Q67" s="111"/>
      <c r="R67" s="109"/>
      <c r="S67" s="111"/>
      <c r="T67" s="111"/>
      <c r="U67" s="142"/>
      <c r="V67" s="111"/>
      <c r="W67" s="96"/>
      <c r="X67" s="111"/>
    </row>
    <row r="68" spans="1:24" ht="12.75" customHeight="1" hidden="1">
      <c r="A68" s="6">
        <v>2003</v>
      </c>
      <c r="B68" s="109"/>
      <c r="C68" s="153"/>
      <c r="D68" s="109"/>
      <c r="E68" s="154"/>
      <c r="F68" s="154"/>
      <c r="G68" s="154"/>
      <c r="H68" s="154"/>
      <c r="I68" s="154"/>
      <c r="J68" s="154"/>
      <c r="K68" s="154"/>
      <c r="L68" s="154"/>
      <c r="M68" s="100"/>
      <c r="N68" s="109"/>
      <c r="O68" s="96"/>
      <c r="P68" s="109"/>
      <c r="Q68" s="111"/>
      <c r="R68" s="109"/>
      <c r="S68" s="109"/>
      <c r="T68" s="109"/>
      <c r="U68" s="142"/>
      <c r="V68" s="109"/>
      <c r="W68" s="96"/>
      <c r="X68" s="43">
        <v>2003</v>
      </c>
    </row>
    <row r="69" spans="1:24" ht="12.75" customHeight="1" hidden="1">
      <c r="A69" s="6" t="s">
        <v>25</v>
      </c>
      <c r="B69" s="100">
        <v>496245</v>
      </c>
      <c r="C69" s="133">
        <v>663596</v>
      </c>
      <c r="D69" s="100">
        <v>32282</v>
      </c>
      <c r="E69" s="100">
        <v>12535</v>
      </c>
      <c r="F69" s="100"/>
      <c r="G69" s="100"/>
      <c r="H69" s="100"/>
      <c r="I69" s="100">
        <v>87172</v>
      </c>
      <c r="J69" s="100"/>
      <c r="K69" s="100"/>
      <c r="L69" s="100"/>
      <c r="M69" s="100">
        <v>531607</v>
      </c>
      <c r="N69" s="100"/>
      <c r="O69" s="133">
        <v>106757</v>
      </c>
      <c r="P69" s="100">
        <v>13</v>
      </c>
      <c r="Q69" s="100">
        <v>11905</v>
      </c>
      <c r="R69" s="100">
        <v>412</v>
      </c>
      <c r="S69" s="109">
        <v>0</v>
      </c>
      <c r="T69" s="109">
        <v>104</v>
      </c>
      <c r="U69" s="100">
        <v>47040</v>
      </c>
      <c r="V69" s="100">
        <v>125391</v>
      </c>
      <c r="W69" s="96">
        <v>1334706</v>
      </c>
      <c r="X69" s="43" t="s">
        <v>25</v>
      </c>
    </row>
    <row r="70" spans="1:24" ht="12.75" hidden="1">
      <c r="A70" s="6" t="s">
        <v>26</v>
      </c>
      <c r="B70" s="100">
        <v>478641</v>
      </c>
      <c r="C70" s="133">
        <v>681373</v>
      </c>
      <c r="D70" s="100">
        <v>43395</v>
      </c>
      <c r="E70" s="100">
        <v>12821</v>
      </c>
      <c r="F70" s="100"/>
      <c r="G70" s="100"/>
      <c r="H70" s="100"/>
      <c r="I70" s="100">
        <v>92485</v>
      </c>
      <c r="J70" s="100"/>
      <c r="K70" s="100"/>
      <c r="L70" s="100"/>
      <c r="M70" s="100">
        <v>531607</v>
      </c>
      <c r="N70" s="100"/>
      <c r="O70" s="133">
        <v>122402</v>
      </c>
      <c r="P70" s="100">
        <v>13</v>
      </c>
      <c r="Q70" s="100">
        <v>2788</v>
      </c>
      <c r="R70" s="100">
        <v>1659</v>
      </c>
      <c r="S70" s="109">
        <v>0</v>
      </c>
      <c r="T70" s="109">
        <v>29</v>
      </c>
      <c r="U70" s="100">
        <v>47302</v>
      </c>
      <c r="V70" s="100">
        <v>124689</v>
      </c>
      <c r="W70" s="96">
        <v>1336494</v>
      </c>
      <c r="X70" s="43" t="s">
        <v>26</v>
      </c>
    </row>
    <row r="71" spans="1:24" s="100" customFormat="1" ht="12.75" hidden="1">
      <c r="A71" s="43" t="s">
        <v>114</v>
      </c>
      <c r="B71" s="100">
        <v>470984</v>
      </c>
      <c r="C71" s="133">
        <v>693728</v>
      </c>
      <c r="D71" s="100">
        <v>35437</v>
      </c>
      <c r="E71" s="100">
        <v>9367</v>
      </c>
      <c r="I71" s="100">
        <v>116561</v>
      </c>
      <c r="M71" s="100">
        <v>531607</v>
      </c>
      <c r="O71" s="133">
        <v>89487</v>
      </c>
      <c r="P71" s="100">
        <v>13</v>
      </c>
      <c r="Q71" s="100">
        <v>2684</v>
      </c>
      <c r="R71" s="100">
        <v>1544</v>
      </c>
      <c r="S71" s="100">
        <v>0</v>
      </c>
      <c r="T71" s="100">
        <v>29</v>
      </c>
      <c r="U71" s="100">
        <v>52672</v>
      </c>
      <c r="V71" s="100">
        <v>127645</v>
      </c>
      <c r="W71" s="96">
        <v>1349299</v>
      </c>
      <c r="X71" s="43" t="s">
        <v>114</v>
      </c>
    </row>
    <row r="72" spans="1:24" s="100" customFormat="1" ht="12.75" hidden="1">
      <c r="A72" s="44" t="s">
        <v>28</v>
      </c>
      <c r="B72" s="100">
        <v>449722</v>
      </c>
      <c r="C72" s="133">
        <v>709548</v>
      </c>
      <c r="D72" s="100">
        <v>31507</v>
      </c>
      <c r="E72" s="100">
        <v>8163</v>
      </c>
      <c r="I72" s="100">
        <v>138190</v>
      </c>
      <c r="M72" s="100">
        <v>531037</v>
      </c>
      <c r="O72" s="133">
        <v>97720</v>
      </c>
      <c r="P72" s="100">
        <v>13</v>
      </c>
      <c r="Q72" s="100">
        <v>2456</v>
      </c>
      <c r="R72" s="100">
        <v>2624</v>
      </c>
      <c r="S72" s="100">
        <v>0</v>
      </c>
      <c r="T72" s="100">
        <v>61</v>
      </c>
      <c r="U72" s="100">
        <v>57989</v>
      </c>
      <c r="V72" s="100">
        <v>134198</v>
      </c>
      <c r="W72" s="96">
        <v>1356612</v>
      </c>
      <c r="X72" s="43" t="s">
        <v>28</v>
      </c>
    </row>
    <row r="73" spans="1:24" s="100" customFormat="1" ht="12.75" hidden="1">
      <c r="A73" s="44" t="s">
        <v>29</v>
      </c>
      <c r="B73" s="100">
        <v>521731</v>
      </c>
      <c r="C73" s="133">
        <v>725077</v>
      </c>
      <c r="D73" s="100">
        <v>24442</v>
      </c>
      <c r="E73" s="100">
        <v>8681</v>
      </c>
      <c r="I73" s="100">
        <v>159805</v>
      </c>
      <c r="M73" s="100">
        <v>531037</v>
      </c>
      <c r="O73" s="133">
        <v>108971</v>
      </c>
      <c r="P73" s="100">
        <v>13</v>
      </c>
      <c r="Q73" s="100">
        <v>2564</v>
      </c>
      <c r="R73" s="100">
        <v>1015</v>
      </c>
      <c r="S73" s="100">
        <v>0</v>
      </c>
      <c r="T73" s="100">
        <v>47</v>
      </c>
      <c r="U73" s="100">
        <v>56958</v>
      </c>
      <c r="V73" s="100">
        <v>134198</v>
      </c>
      <c r="W73" s="96">
        <f>B73+C73+P73+Q73+R73+T73+U73+V73</f>
        <v>1441603</v>
      </c>
      <c r="X73" s="43" t="s">
        <v>29</v>
      </c>
    </row>
    <row r="74" spans="1:24" s="100" customFormat="1" ht="12.75" hidden="1">
      <c r="A74" s="43" t="s">
        <v>86</v>
      </c>
      <c r="B74" s="100">
        <v>522412</v>
      </c>
      <c r="C74" s="133">
        <v>721820</v>
      </c>
      <c r="D74" s="100">
        <v>34456</v>
      </c>
      <c r="E74" s="100">
        <v>9876</v>
      </c>
      <c r="I74" s="100">
        <v>145509</v>
      </c>
      <c r="M74" s="100">
        <v>531037</v>
      </c>
      <c r="O74" s="133">
        <v>105418</v>
      </c>
      <c r="P74" s="100">
        <v>13</v>
      </c>
      <c r="Q74" s="100">
        <v>2446</v>
      </c>
      <c r="R74" s="100">
        <v>496</v>
      </c>
      <c r="S74" s="100">
        <v>0</v>
      </c>
      <c r="T74" s="100">
        <v>31</v>
      </c>
      <c r="U74" s="100">
        <v>55542</v>
      </c>
      <c r="V74" s="100">
        <v>126946</v>
      </c>
      <c r="W74" s="96">
        <v>1429707</v>
      </c>
      <c r="X74" s="43" t="s">
        <v>86</v>
      </c>
    </row>
    <row r="75" spans="1:24" s="100" customFormat="1" ht="12.75" hidden="1">
      <c r="A75" s="44" t="s">
        <v>31</v>
      </c>
      <c r="B75" s="100">
        <v>520847</v>
      </c>
      <c r="C75" s="133">
        <v>702141</v>
      </c>
      <c r="D75" s="100">
        <v>26738</v>
      </c>
      <c r="E75" s="100">
        <v>9128</v>
      </c>
      <c r="I75" s="100">
        <v>133809</v>
      </c>
      <c r="M75" s="100">
        <v>531037</v>
      </c>
      <c r="O75" s="133">
        <v>118609</v>
      </c>
      <c r="P75" s="100">
        <v>13</v>
      </c>
      <c r="Q75" s="100">
        <v>2339</v>
      </c>
      <c r="R75" s="100">
        <v>1640</v>
      </c>
      <c r="S75" s="109">
        <v>0</v>
      </c>
      <c r="T75" s="109">
        <v>31</v>
      </c>
      <c r="U75" s="100">
        <v>60372</v>
      </c>
      <c r="V75" s="100">
        <v>128363</v>
      </c>
      <c r="W75" s="96">
        <v>1415747</v>
      </c>
      <c r="X75" s="43" t="s">
        <v>31</v>
      </c>
    </row>
    <row r="76" spans="1:24" ht="12.75" hidden="1">
      <c r="A76" s="6" t="s">
        <v>32</v>
      </c>
      <c r="B76" s="100">
        <v>522707</v>
      </c>
      <c r="C76" s="133">
        <v>704210</v>
      </c>
      <c r="D76" s="100" t="s">
        <v>155</v>
      </c>
      <c r="E76" s="100">
        <v>13816</v>
      </c>
      <c r="F76" s="100"/>
      <c r="G76" s="100"/>
      <c r="H76" s="100"/>
      <c r="I76" s="100">
        <v>137390</v>
      </c>
      <c r="J76" s="100"/>
      <c r="K76" s="100"/>
      <c r="L76" s="100"/>
      <c r="M76" s="100">
        <v>531037</v>
      </c>
      <c r="N76" s="100"/>
      <c r="O76" s="133">
        <v>122178</v>
      </c>
      <c r="P76" s="100">
        <v>13</v>
      </c>
      <c r="Q76" s="100">
        <v>2085</v>
      </c>
      <c r="R76" s="100">
        <v>60</v>
      </c>
      <c r="S76" s="109">
        <v>0</v>
      </c>
      <c r="T76" s="109">
        <v>48</v>
      </c>
      <c r="U76" s="100">
        <v>62377</v>
      </c>
      <c r="V76" s="100">
        <v>127977</v>
      </c>
      <c r="W76" s="96">
        <f>B76+C76+P76+Q76+R76+T76+U76+V76</f>
        <v>1419477</v>
      </c>
      <c r="X76" s="43" t="s">
        <v>32</v>
      </c>
    </row>
    <row r="77" spans="1:24" ht="12.75" hidden="1">
      <c r="A77" s="43" t="s">
        <v>87</v>
      </c>
      <c r="B77" s="100">
        <v>602116</v>
      </c>
      <c r="C77" s="133">
        <v>616559</v>
      </c>
      <c r="D77" s="100">
        <v>35423</v>
      </c>
      <c r="E77" s="100">
        <v>11876</v>
      </c>
      <c r="F77" s="100"/>
      <c r="G77" s="100"/>
      <c r="H77" s="100"/>
      <c r="I77" s="100">
        <v>38263</v>
      </c>
      <c r="J77" s="100"/>
      <c r="K77" s="100"/>
      <c r="L77" s="100"/>
      <c r="M77" s="100">
        <v>531037</v>
      </c>
      <c r="N77" s="100"/>
      <c r="O77" s="133">
        <v>71774</v>
      </c>
      <c r="P77" s="100">
        <v>13</v>
      </c>
      <c r="Q77" s="100">
        <v>2181</v>
      </c>
      <c r="R77" s="100">
        <v>771</v>
      </c>
      <c r="S77" s="109">
        <v>0</v>
      </c>
      <c r="T77" s="109">
        <v>32</v>
      </c>
      <c r="U77" s="100">
        <v>65428</v>
      </c>
      <c r="V77" s="100">
        <v>0</v>
      </c>
      <c r="W77" s="96">
        <v>1287141</v>
      </c>
      <c r="X77" s="43" t="s">
        <v>87</v>
      </c>
    </row>
    <row r="78" spans="1:24" ht="12.75" hidden="1">
      <c r="A78" s="6" t="s">
        <v>35</v>
      </c>
      <c r="B78" s="100">
        <v>581755</v>
      </c>
      <c r="C78" s="133">
        <v>628550</v>
      </c>
      <c r="D78" s="100">
        <v>33590</v>
      </c>
      <c r="E78" s="100">
        <v>13945</v>
      </c>
      <c r="F78" s="100"/>
      <c r="G78" s="100"/>
      <c r="H78" s="100"/>
      <c r="I78" s="100">
        <v>49977</v>
      </c>
      <c r="J78" s="100"/>
      <c r="K78" s="100"/>
      <c r="L78" s="100"/>
      <c r="M78" s="100">
        <v>531037</v>
      </c>
      <c r="N78" s="100"/>
      <c r="O78" s="133">
        <v>86937</v>
      </c>
      <c r="P78" s="100">
        <v>13</v>
      </c>
      <c r="Q78" s="100">
        <v>2147</v>
      </c>
      <c r="R78" s="100">
        <v>860</v>
      </c>
      <c r="S78" s="109">
        <v>0</v>
      </c>
      <c r="T78" s="100">
        <v>33</v>
      </c>
      <c r="U78" s="100">
        <v>66258</v>
      </c>
      <c r="V78" s="100">
        <v>133791</v>
      </c>
      <c r="W78" s="96">
        <v>1413406</v>
      </c>
      <c r="X78" s="43" t="s">
        <v>35</v>
      </c>
    </row>
    <row r="79" spans="1:24" ht="12.75" hidden="1">
      <c r="A79" s="6" t="s">
        <v>36</v>
      </c>
      <c r="B79" s="100">
        <v>543472</v>
      </c>
      <c r="C79" s="133">
        <v>648188</v>
      </c>
      <c r="D79" s="100">
        <v>36858</v>
      </c>
      <c r="E79" s="100">
        <v>16469</v>
      </c>
      <c r="F79" s="100"/>
      <c r="G79" s="100"/>
      <c r="H79" s="100"/>
      <c r="I79" s="100">
        <v>63824</v>
      </c>
      <c r="J79" s="100"/>
      <c r="K79" s="100"/>
      <c r="L79" s="100"/>
      <c r="M79" s="100">
        <v>531037</v>
      </c>
      <c r="N79" s="100"/>
      <c r="O79" s="133">
        <v>103890</v>
      </c>
      <c r="P79" s="100">
        <v>13</v>
      </c>
      <c r="Q79" s="100">
        <v>2025</v>
      </c>
      <c r="R79" s="100">
        <v>3720</v>
      </c>
      <c r="S79" s="109">
        <v>0</v>
      </c>
      <c r="T79" s="100">
        <v>65</v>
      </c>
      <c r="U79" s="100">
        <v>66382</v>
      </c>
      <c r="V79" s="100">
        <v>135803</v>
      </c>
      <c r="W79" s="96">
        <v>1399669</v>
      </c>
      <c r="X79" s="43" t="s">
        <v>36</v>
      </c>
    </row>
    <row r="80" spans="1:24" ht="12.75" hidden="1">
      <c r="A80" s="43" t="s">
        <v>88</v>
      </c>
      <c r="B80" s="100">
        <v>556682</v>
      </c>
      <c r="C80" s="133">
        <v>681976</v>
      </c>
      <c r="D80" s="100">
        <v>65610</v>
      </c>
      <c r="E80" s="100">
        <v>17219</v>
      </c>
      <c r="F80" s="100"/>
      <c r="G80" s="100"/>
      <c r="H80" s="100"/>
      <c r="I80" s="100">
        <v>68110</v>
      </c>
      <c r="J80" s="100"/>
      <c r="K80" s="100"/>
      <c r="L80" s="100"/>
      <c r="M80" s="100">
        <v>531037</v>
      </c>
      <c r="N80" s="100"/>
      <c r="O80" s="133">
        <v>139585</v>
      </c>
      <c r="P80" s="100">
        <v>13</v>
      </c>
      <c r="Q80" s="100">
        <v>1911</v>
      </c>
      <c r="R80" s="100">
        <v>59</v>
      </c>
      <c r="S80" s="109">
        <v>0</v>
      </c>
      <c r="T80" s="100">
        <v>334</v>
      </c>
      <c r="U80" s="100">
        <v>72183</v>
      </c>
      <c r="V80" s="100">
        <v>0</v>
      </c>
      <c r="W80" s="96">
        <v>1313158</v>
      </c>
      <c r="X80" s="43" t="s">
        <v>88</v>
      </c>
    </row>
    <row r="81" spans="1:24" ht="12.75" hidden="1">
      <c r="A81" s="43"/>
      <c r="B81" s="109"/>
      <c r="C81" s="133"/>
      <c r="D81" s="100"/>
      <c r="E81" s="154"/>
      <c r="F81" s="154"/>
      <c r="G81" s="154"/>
      <c r="H81" s="154"/>
      <c r="I81" s="154"/>
      <c r="J81" s="154"/>
      <c r="K81" s="154"/>
      <c r="L81" s="154"/>
      <c r="M81" s="154"/>
      <c r="N81" s="109"/>
      <c r="O81" s="96"/>
      <c r="P81" s="155"/>
      <c r="Q81" s="154"/>
      <c r="R81" s="154"/>
      <c r="S81" s="109"/>
      <c r="T81" s="109"/>
      <c r="U81" s="109"/>
      <c r="V81" s="109"/>
      <c r="W81" s="96"/>
      <c r="X81" s="43"/>
    </row>
    <row r="82" spans="1:24" s="100" customFormat="1" ht="12.75" hidden="1">
      <c r="A82" s="67">
        <v>2004</v>
      </c>
      <c r="C82" s="133"/>
      <c r="O82" s="133"/>
      <c r="S82" s="109"/>
      <c r="T82" s="109"/>
      <c r="W82" s="96"/>
      <c r="X82" s="43">
        <v>2004</v>
      </c>
    </row>
    <row r="83" spans="1:24" s="100" customFormat="1" ht="12.75" hidden="1">
      <c r="A83" s="44" t="s">
        <v>25</v>
      </c>
      <c r="B83" s="100">
        <v>557385</v>
      </c>
      <c r="C83" s="133">
        <v>689341</v>
      </c>
      <c r="D83" s="100">
        <v>51380</v>
      </c>
      <c r="E83" s="100">
        <v>82142</v>
      </c>
      <c r="I83" s="100">
        <v>24781</v>
      </c>
      <c r="M83" s="100">
        <v>531037</v>
      </c>
      <c r="O83" s="133">
        <v>140430</v>
      </c>
      <c r="P83" s="100">
        <v>13</v>
      </c>
      <c r="Q83" s="100">
        <v>5534</v>
      </c>
      <c r="R83" s="100">
        <v>1556</v>
      </c>
      <c r="S83" s="109">
        <v>0</v>
      </c>
      <c r="T83" s="109">
        <v>334</v>
      </c>
      <c r="U83" s="100">
        <v>67239</v>
      </c>
      <c r="V83" s="100">
        <v>147696</v>
      </c>
      <c r="W83" s="96">
        <v>1469099</v>
      </c>
      <c r="X83" s="43" t="s">
        <v>25</v>
      </c>
    </row>
    <row r="84" spans="1:24" s="100" customFormat="1" ht="12.75" hidden="1">
      <c r="A84" s="44" t="s">
        <v>26</v>
      </c>
      <c r="B84" s="100">
        <v>553842</v>
      </c>
      <c r="C84" s="133">
        <v>703548</v>
      </c>
      <c r="D84" s="100">
        <v>40232</v>
      </c>
      <c r="E84" s="100">
        <v>79816</v>
      </c>
      <c r="I84" s="100">
        <v>52462</v>
      </c>
      <c r="M84" s="100">
        <v>531037</v>
      </c>
      <c r="O84" s="133">
        <v>162172</v>
      </c>
      <c r="P84" s="100">
        <v>13</v>
      </c>
      <c r="Q84" s="100">
        <v>5642</v>
      </c>
      <c r="R84" s="100">
        <v>752</v>
      </c>
      <c r="S84" s="109">
        <v>0</v>
      </c>
      <c r="T84" s="109">
        <v>395</v>
      </c>
      <c r="U84" s="100">
        <v>65485</v>
      </c>
      <c r="V84" s="100">
        <v>148104</v>
      </c>
      <c r="W84" s="96">
        <v>1477780</v>
      </c>
      <c r="X84" s="43" t="s">
        <v>26</v>
      </c>
    </row>
    <row r="85" spans="1:24" s="100" customFormat="1" ht="12.75" hidden="1">
      <c r="A85" s="43" t="s">
        <v>114</v>
      </c>
      <c r="B85" s="100">
        <v>587096</v>
      </c>
      <c r="C85" s="133">
        <v>687901</v>
      </c>
      <c r="D85" s="100">
        <v>51606</v>
      </c>
      <c r="E85" s="100">
        <v>78185</v>
      </c>
      <c r="I85" s="100">
        <v>27072</v>
      </c>
      <c r="M85" s="100">
        <v>531037</v>
      </c>
      <c r="O85" s="133">
        <v>147388</v>
      </c>
      <c r="P85" s="100">
        <v>13</v>
      </c>
      <c r="Q85" s="100">
        <v>5672</v>
      </c>
      <c r="R85" s="100">
        <v>3731</v>
      </c>
      <c r="S85" s="109">
        <v>0</v>
      </c>
      <c r="T85" s="109">
        <v>334</v>
      </c>
      <c r="U85" s="100">
        <v>66243</v>
      </c>
      <c r="V85" s="100">
        <v>0</v>
      </c>
      <c r="W85" s="96">
        <v>1350992</v>
      </c>
      <c r="X85" s="43" t="s">
        <v>114</v>
      </c>
    </row>
    <row r="86" spans="1:24" s="100" customFormat="1" ht="12.75" hidden="1">
      <c r="A86" s="44" t="s">
        <v>28</v>
      </c>
      <c r="B86" s="100">
        <v>606221</v>
      </c>
      <c r="C86" s="133">
        <v>707251</v>
      </c>
      <c r="D86" s="100">
        <v>49392</v>
      </c>
      <c r="E86" s="100">
        <v>68157</v>
      </c>
      <c r="I86" s="100">
        <v>58657</v>
      </c>
      <c r="M86" s="100">
        <v>531037</v>
      </c>
      <c r="O86" s="133">
        <v>164541</v>
      </c>
      <c r="P86" s="100">
        <v>13</v>
      </c>
      <c r="Q86" s="100">
        <v>5341</v>
      </c>
      <c r="R86" s="100">
        <v>783</v>
      </c>
      <c r="S86" s="109">
        <v>0</v>
      </c>
      <c r="T86" s="109">
        <v>1112</v>
      </c>
      <c r="U86" s="100">
        <v>66716</v>
      </c>
      <c r="V86" s="100">
        <v>146863</v>
      </c>
      <c r="W86" s="96">
        <v>1534305</v>
      </c>
      <c r="X86" s="43" t="s">
        <v>28</v>
      </c>
    </row>
    <row r="87" spans="1:24" s="100" customFormat="1" ht="12.75" hidden="1">
      <c r="A87" s="68" t="s">
        <v>29</v>
      </c>
      <c r="B87" s="103">
        <v>608289</v>
      </c>
      <c r="C87" s="99">
        <v>711810</v>
      </c>
      <c r="D87" s="103">
        <v>44285</v>
      </c>
      <c r="E87" s="103">
        <v>68686</v>
      </c>
      <c r="F87" s="103"/>
      <c r="G87" s="103"/>
      <c r="H87" s="103"/>
      <c r="I87" s="103">
        <v>67725</v>
      </c>
      <c r="J87" s="103"/>
      <c r="K87" s="103"/>
      <c r="L87" s="103"/>
      <c r="M87" s="103">
        <v>531037</v>
      </c>
      <c r="N87" s="103"/>
      <c r="O87" s="99">
        <v>171069</v>
      </c>
      <c r="P87" s="103">
        <v>13</v>
      </c>
      <c r="Q87" s="103">
        <v>5160</v>
      </c>
      <c r="R87" s="103">
        <v>1055</v>
      </c>
      <c r="S87" s="111">
        <v>0</v>
      </c>
      <c r="T87" s="111">
        <v>297</v>
      </c>
      <c r="U87" s="103">
        <v>62696</v>
      </c>
      <c r="V87" s="103">
        <v>0</v>
      </c>
      <c r="W87" s="124">
        <v>1389321</v>
      </c>
      <c r="X87" s="6" t="s">
        <v>29</v>
      </c>
    </row>
    <row r="88" spans="1:24" s="100" customFormat="1" ht="12.75" hidden="1">
      <c r="A88" s="68" t="s">
        <v>86</v>
      </c>
      <c r="B88" s="103">
        <v>587616</v>
      </c>
      <c r="C88" s="99">
        <v>689557</v>
      </c>
      <c r="D88" s="103">
        <v>48368</v>
      </c>
      <c r="E88" s="103">
        <v>54413</v>
      </c>
      <c r="F88" s="103"/>
      <c r="G88" s="103"/>
      <c r="H88" s="103"/>
      <c r="I88" s="103">
        <v>55662</v>
      </c>
      <c r="J88" s="103"/>
      <c r="K88" s="103"/>
      <c r="L88" s="103"/>
      <c r="M88" s="103">
        <v>531037</v>
      </c>
      <c r="N88" s="103"/>
      <c r="O88" s="99">
        <v>148320</v>
      </c>
      <c r="P88" s="103">
        <v>13</v>
      </c>
      <c r="Q88" s="103">
        <v>4872</v>
      </c>
      <c r="R88" s="103">
        <v>1553</v>
      </c>
      <c r="S88" s="111">
        <v>0</v>
      </c>
      <c r="T88" s="111">
        <v>297</v>
      </c>
      <c r="U88" s="103">
        <v>65885</v>
      </c>
      <c r="V88" s="103">
        <v>0</v>
      </c>
      <c r="W88" s="124">
        <v>1349793</v>
      </c>
      <c r="X88" s="43" t="s">
        <v>86</v>
      </c>
    </row>
    <row r="89" spans="1:24" ht="12.75" hidden="1">
      <c r="A89" s="6" t="s">
        <v>31</v>
      </c>
      <c r="B89" s="103">
        <v>578181</v>
      </c>
      <c r="C89" s="99">
        <v>688759</v>
      </c>
      <c r="D89" s="103">
        <v>32256</v>
      </c>
      <c r="E89" s="103">
        <v>48372</v>
      </c>
      <c r="F89" s="103"/>
      <c r="G89" s="103"/>
      <c r="H89" s="103"/>
      <c r="I89" s="103">
        <v>74016</v>
      </c>
      <c r="J89" s="103"/>
      <c r="K89" s="103"/>
      <c r="L89" s="103"/>
      <c r="M89" s="103">
        <v>531037</v>
      </c>
      <c r="N89" s="103"/>
      <c r="O89" s="99">
        <v>145672</v>
      </c>
      <c r="P89" s="103">
        <v>13</v>
      </c>
      <c r="Q89" s="103">
        <v>4582</v>
      </c>
      <c r="R89" s="103">
        <v>1066</v>
      </c>
      <c r="S89" s="103">
        <v>0</v>
      </c>
      <c r="T89" s="103">
        <v>264</v>
      </c>
      <c r="U89" s="103">
        <v>72223</v>
      </c>
      <c r="V89" s="103">
        <v>0</v>
      </c>
      <c r="W89" s="124">
        <v>1345090</v>
      </c>
      <c r="X89" s="6" t="s">
        <v>31</v>
      </c>
    </row>
    <row r="90" spans="1:24" ht="12.75" customHeight="1" hidden="1">
      <c r="A90" s="68" t="s">
        <v>32</v>
      </c>
      <c r="B90" s="99">
        <v>575121</v>
      </c>
      <c r="C90" s="99">
        <v>691010</v>
      </c>
      <c r="D90" s="99">
        <v>26197</v>
      </c>
      <c r="E90" s="99">
        <v>40744</v>
      </c>
      <c r="F90" s="99"/>
      <c r="G90" s="99"/>
      <c r="H90" s="99"/>
      <c r="I90" s="99">
        <v>93188</v>
      </c>
      <c r="J90" s="99"/>
      <c r="K90" s="99"/>
      <c r="L90" s="99"/>
      <c r="M90" s="99">
        <v>530880</v>
      </c>
      <c r="N90" s="99"/>
      <c r="O90" s="133">
        <v>149737</v>
      </c>
      <c r="P90" s="103">
        <v>13</v>
      </c>
      <c r="Q90" s="99">
        <v>4321</v>
      </c>
      <c r="R90" s="99">
        <v>1926</v>
      </c>
      <c r="S90" s="103">
        <v>0</v>
      </c>
      <c r="T90" s="152">
        <v>259</v>
      </c>
      <c r="U90" s="99">
        <v>73199</v>
      </c>
      <c r="V90" s="103">
        <v>0</v>
      </c>
      <c r="W90" s="124">
        <v>1345849</v>
      </c>
      <c r="X90" s="6" t="s">
        <v>32</v>
      </c>
    </row>
    <row r="91" spans="1:24" ht="12.75" customHeight="1" hidden="1">
      <c r="A91" s="6" t="s">
        <v>87</v>
      </c>
      <c r="B91" s="99">
        <v>603973</v>
      </c>
      <c r="C91" s="99">
        <v>669509</v>
      </c>
      <c r="D91" s="99">
        <v>35593</v>
      </c>
      <c r="E91" s="99">
        <v>22833</v>
      </c>
      <c r="F91" s="99"/>
      <c r="G91" s="99"/>
      <c r="H91" s="99"/>
      <c r="I91" s="99">
        <v>80195</v>
      </c>
      <c r="J91" s="99"/>
      <c r="K91" s="99"/>
      <c r="L91" s="99"/>
      <c r="M91" s="99">
        <v>530880</v>
      </c>
      <c r="N91" s="99"/>
      <c r="O91" s="133">
        <v>127634</v>
      </c>
      <c r="P91" s="103">
        <v>13</v>
      </c>
      <c r="Q91" s="99">
        <v>3865</v>
      </c>
      <c r="R91" s="99">
        <v>3024</v>
      </c>
      <c r="S91" s="103">
        <v>0</v>
      </c>
      <c r="T91" s="152">
        <v>260</v>
      </c>
      <c r="U91" s="99">
        <v>79937</v>
      </c>
      <c r="V91" s="103">
        <v>0</v>
      </c>
      <c r="W91" s="124">
        <v>1360581</v>
      </c>
      <c r="X91" s="6" t="s">
        <v>87</v>
      </c>
    </row>
    <row r="92" spans="1:24" ht="12.75" customHeight="1" hidden="1">
      <c r="A92" s="68" t="s">
        <v>35</v>
      </c>
      <c r="B92" s="99">
        <v>673262</v>
      </c>
      <c r="C92" s="99">
        <v>612554</v>
      </c>
      <c r="D92" s="99">
        <v>36932</v>
      </c>
      <c r="E92" s="99">
        <v>22608</v>
      </c>
      <c r="F92" s="99"/>
      <c r="G92" s="99"/>
      <c r="H92" s="99"/>
      <c r="I92" s="99">
        <v>22126</v>
      </c>
      <c r="J92" s="99"/>
      <c r="K92" s="99"/>
      <c r="L92" s="99"/>
      <c r="M92" s="99">
        <v>530880</v>
      </c>
      <c r="N92" s="99"/>
      <c r="O92" s="133">
        <v>66926</v>
      </c>
      <c r="P92" s="103">
        <v>13</v>
      </c>
      <c r="Q92" s="99">
        <v>3587</v>
      </c>
      <c r="R92" s="99">
        <v>1979</v>
      </c>
      <c r="S92" s="103">
        <v>0</v>
      </c>
      <c r="T92" s="152">
        <v>270</v>
      </c>
      <c r="U92" s="99">
        <v>83509</v>
      </c>
      <c r="V92" s="103">
        <v>0</v>
      </c>
      <c r="W92" s="124">
        <v>1375175</v>
      </c>
      <c r="X92" s="6" t="s">
        <v>35</v>
      </c>
    </row>
    <row r="93" spans="1:24" ht="12.75" customHeight="1" hidden="1">
      <c r="A93" s="6" t="s">
        <v>36</v>
      </c>
      <c r="B93" s="99">
        <v>740376</v>
      </c>
      <c r="C93" s="99">
        <v>645556</v>
      </c>
      <c r="D93" s="99">
        <v>49876</v>
      </c>
      <c r="E93" s="99">
        <v>21835</v>
      </c>
      <c r="F93" s="99"/>
      <c r="G93" s="99"/>
      <c r="H93" s="99"/>
      <c r="I93" s="99">
        <v>42956</v>
      </c>
      <c r="J93" s="99"/>
      <c r="K93" s="99"/>
      <c r="L93" s="99"/>
      <c r="M93" s="99">
        <v>530880</v>
      </c>
      <c r="N93" s="99"/>
      <c r="O93" s="133">
        <v>104793</v>
      </c>
      <c r="P93" s="99">
        <v>13</v>
      </c>
      <c r="Q93" s="99">
        <v>3204</v>
      </c>
      <c r="R93" s="99">
        <v>1428</v>
      </c>
      <c r="S93" s="99">
        <v>0</v>
      </c>
      <c r="T93" s="152">
        <v>407</v>
      </c>
      <c r="U93" s="99">
        <v>74576</v>
      </c>
      <c r="V93" s="99">
        <v>0</v>
      </c>
      <c r="W93" s="133">
        <v>1465560</v>
      </c>
      <c r="X93" s="6" t="s">
        <v>36</v>
      </c>
    </row>
    <row r="94" spans="1:24" ht="12.75" customHeight="1" hidden="1">
      <c r="A94" s="68" t="s">
        <v>88</v>
      </c>
      <c r="B94" s="99">
        <v>818480</v>
      </c>
      <c r="C94" s="99">
        <v>626112</v>
      </c>
      <c r="D94" s="99">
        <v>76015</v>
      </c>
      <c r="E94" s="99">
        <v>19217</v>
      </c>
      <c r="F94" s="99"/>
      <c r="G94" s="99"/>
      <c r="H94" s="99"/>
      <c r="I94" s="100">
        <v>0</v>
      </c>
      <c r="J94" s="100"/>
      <c r="K94" s="100"/>
      <c r="L94" s="100"/>
      <c r="M94" s="99">
        <v>530880</v>
      </c>
      <c r="N94" s="99"/>
      <c r="O94" s="133">
        <v>58312</v>
      </c>
      <c r="P94" s="99">
        <v>13</v>
      </c>
      <c r="Q94" s="99">
        <v>2125</v>
      </c>
      <c r="R94" s="99">
        <v>3163</v>
      </c>
      <c r="S94" s="99">
        <v>0</v>
      </c>
      <c r="T94" s="152">
        <v>263</v>
      </c>
      <c r="U94" s="99">
        <v>76907</v>
      </c>
      <c r="V94" s="99">
        <v>0</v>
      </c>
      <c r="W94" s="133">
        <v>1526458</v>
      </c>
      <c r="X94" s="6" t="s">
        <v>88</v>
      </c>
    </row>
    <row r="95" spans="1:3" ht="12.75" hidden="1">
      <c r="A95" s="6"/>
      <c r="C95" s="107"/>
    </row>
    <row r="96" spans="1:24" ht="12.75" hidden="1">
      <c r="A96" s="67">
        <v>2005</v>
      </c>
      <c r="X96" s="43">
        <v>2005</v>
      </c>
    </row>
    <row r="97" spans="1:24" ht="12.75" hidden="1">
      <c r="A97" s="44" t="s">
        <v>25</v>
      </c>
      <c r="B97" s="99">
        <v>798723</v>
      </c>
      <c r="C97" s="99">
        <v>614996</v>
      </c>
      <c r="D97" s="99">
        <v>66563</v>
      </c>
      <c r="E97" s="99">
        <v>17553</v>
      </c>
      <c r="F97" s="99"/>
      <c r="G97" s="99"/>
      <c r="H97" s="99"/>
      <c r="I97" s="100">
        <v>0</v>
      </c>
      <c r="J97" s="100"/>
      <c r="K97" s="100"/>
      <c r="L97" s="100"/>
      <c r="M97" s="99">
        <v>530880</v>
      </c>
      <c r="N97" s="99"/>
      <c r="O97" s="133">
        <v>59630</v>
      </c>
      <c r="P97" s="99">
        <v>13</v>
      </c>
      <c r="Q97" s="99">
        <v>5399</v>
      </c>
      <c r="R97" s="99">
        <v>1820</v>
      </c>
      <c r="S97" s="99">
        <v>0</v>
      </c>
      <c r="T97" s="152">
        <v>329</v>
      </c>
      <c r="U97" s="99">
        <v>61327</v>
      </c>
      <c r="V97" s="99">
        <v>0</v>
      </c>
      <c r="W97" s="133">
        <v>1482606</v>
      </c>
      <c r="X97" s="43" t="s">
        <v>25</v>
      </c>
    </row>
    <row r="98" spans="1:24" ht="12.75" hidden="1">
      <c r="A98" s="44" t="s">
        <v>26</v>
      </c>
      <c r="B98" s="99">
        <v>786224</v>
      </c>
      <c r="C98" s="99">
        <v>627200</v>
      </c>
      <c r="D98" s="99">
        <v>61215</v>
      </c>
      <c r="E98" s="99">
        <v>19216</v>
      </c>
      <c r="F98" s="99"/>
      <c r="G98" s="99"/>
      <c r="H98" s="99"/>
      <c r="I98" s="100">
        <v>15888</v>
      </c>
      <c r="J98" s="100"/>
      <c r="K98" s="100"/>
      <c r="L98" s="100"/>
      <c r="M98" s="99">
        <v>530880</v>
      </c>
      <c r="N98" s="99"/>
      <c r="O98" s="133">
        <v>81133</v>
      </c>
      <c r="P98" s="99">
        <v>112</v>
      </c>
      <c r="Q98" s="99">
        <v>5010</v>
      </c>
      <c r="R98" s="99">
        <v>1592</v>
      </c>
      <c r="S98" s="99">
        <v>26</v>
      </c>
      <c r="T98" s="152">
        <v>262</v>
      </c>
      <c r="U98" s="99">
        <v>57202</v>
      </c>
      <c r="V98" s="99">
        <v>0</v>
      </c>
      <c r="W98" s="99">
        <v>1477629</v>
      </c>
      <c r="X98" s="43" t="s">
        <v>26</v>
      </c>
    </row>
    <row r="99" spans="1:24" ht="12.75" hidden="1">
      <c r="A99" s="43" t="s">
        <v>114</v>
      </c>
      <c r="B99" s="99">
        <v>791172</v>
      </c>
      <c r="C99" s="99">
        <v>626950</v>
      </c>
      <c r="D99" s="99">
        <v>52263</v>
      </c>
      <c r="E99" s="99">
        <v>19001</v>
      </c>
      <c r="F99" s="99"/>
      <c r="G99" s="99"/>
      <c r="H99" s="99"/>
      <c r="I99" s="100">
        <v>25368</v>
      </c>
      <c r="J99" s="100"/>
      <c r="K99" s="100"/>
      <c r="L99" s="100"/>
      <c r="M99" s="99">
        <v>530318</v>
      </c>
      <c r="N99" s="99"/>
      <c r="O99" s="133">
        <v>84392</v>
      </c>
      <c r="P99" s="99">
        <v>13</v>
      </c>
      <c r="Q99" s="99">
        <v>5551</v>
      </c>
      <c r="R99" s="99">
        <v>1782</v>
      </c>
      <c r="S99" s="99">
        <v>0</v>
      </c>
      <c r="T99" s="152">
        <v>270</v>
      </c>
      <c r="U99" s="99">
        <v>61410</v>
      </c>
      <c r="V99" s="99">
        <v>0</v>
      </c>
      <c r="W99" s="99">
        <v>1487147</v>
      </c>
      <c r="X99" s="43" t="s">
        <v>114</v>
      </c>
    </row>
    <row r="100" spans="1:24" ht="12.75" hidden="1">
      <c r="A100" s="44" t="s">
        <v>28</v>
      </c>
      <c r="B100" s="99">
        <v>783877</v>
      </c>
      <c r="C100" s="99">
        <v>649255</v>
      </c>
      <c r="D100" s="99">
        <v>48223</v>
      </c>
      <c r="E100" s="99">
        <v>20409</v>
      </c>
      <c r="F100" s="99"/>
      <c r="G100" s="99"/>
      <c r="H100" s="99"/>
      <c r="I100" s="100">
        <v>50294</v>
      </c>
      <c r="J100" s="100"/>
      <c r="K100" s="100"/>
      <c r="L100" s="100"/>
      <c r="M100" s="99">
        <v>530318</v>
      </c>
      <c r="N100" s="99"/>
      <c r="O100" s="133">
        <v>105377</v>
      </c>
      <c r="P100" s="99">
        <v>130</v>
      </c>
      <c r="Q100" s="99">
        <v>5425</v>
      </c>
      <c r="R100" s="99">
        <v>1419</v>
      </c>
      <c r="S100" s="99">
        <v>24</v>
      </c>
      <c r="T100" s="152">
        <v>262</v>
      </c>
      <c r="U100" s="99">
        <v>59030</v>
      </c>
      <c r="V100" s="99">
        <v>0</v>
      </c>
      <c r="W100" s="99">
        <v>1499422</v>
      </c>
      <c r="X100" s="43" t="s">
        <v>28</v>
      </c>
    </row>
    <row r="101" spans="1:24" ht="12.75" hidden="1">
      <c r="A101" s="44" t="s">
        <v>29</v>
      </c>
      <c r="B101" s="99">
        <v>734370</v>
      </c>
      <c r="C101" s="99">
        <v>662663</v>
      </c>
      <c r="D101" s="99">
        <v>32753</v>
      </c>
      <c r="E101" s="99">
        <v>20048</v>
      </c>
      <c r="F101" s="99"/>
      <c r="G101" s="99"/>
      <c r="H101" s="99"/>
      <c r="I101" s="100">
        <v>79510</v>
      </c>
      <c r="J101" s="100"/>
      <c r="K101" s="100"/>
      <c r="L101" s="100"/>
      <c r="M101" s="99">
        <v>530318</v>
      </c>
      <c r="N101" s="99"/>
      <c r="O101" s="133">
        <v>117232</v>
      </c>
      <c r="P101" s="99">
        <v>13</v>
      </c>
      <c r="Q101" s="99">
        <v>4405</v>
      </c>
      <c r="R101" s="99">
        <v>1163</v>
      </c>
      <c r="S101" s="99">
        <v>0</v>
      </c>
      <c r="T101" s="152">
        <v>262</v>
      </c>
      <c r="U101" s="99">
        <v>59979</v>
      </c>
      <c r="V101" s="99">
        <v>0</v>
      </c>
      <c r="W101" s="99">
        <v>1462855</v>
      </c>
      <c r="X101" s="43" t="s">
        <v>29</v>
      </c>
    </row>
    <row r="102" spans="1:24" ht="12.75" hidden="1">
      <c r="A102" s="68" t="s">
        <v>86</v>
      </c>
      <c r="B102" s="99">
        <v>791489</v>
      </c>
      <c r="C102" s="99">
        <v>662717</v>
      </c>
      <c r="D102" s="99">
        <v>35054</v>
      </c>
      <c r="E102" s="99">
        <v>24840</v>
      </c>
      <c r="F102" s="99"/>
      <c r="G102" s="99"/>
      <c r="H102" s="99"/>
      <c r="I102" s="100">
        <v>72199</v>
      </c>
      <c r="J102" s="100"/>
      <c r="K102" s="100"/>
      <c r="L102" s="100"/>
      <c r="M102" s="99">
        <v>530318</v>
      </c>
      <c r="N102" s="99"/>
      <c r="O102" s="133">
        <v>120483</v>
      </c>
      <c r="P102" s="99">
        <v>13</v>
      </c>
      <c r="Q102" s="99">
        <v>3963</v>
      </c>
      <c r="R102" s="99">
        <v>34</v>
      </c>
      <c r="S102" s="99">
        <v>0</v>
      </c>
      <c r="T102" s="152">
        <v>261</v>
      </c>
      <c r="U102" s="99">
        <v>63751</v>
      </c>
      <c r="V102" s="99">
        <v>0</v>
      </c>
      <c r="W102" s="99">
        <v>1522229</v>
      </c>
      <c r="X102" s="43" t="s">
        <v>114</v>
      </c>
    </row>
    <row r="103" spans="1:24" ht="12.75" hidden="1">
      <c r="A103" s="44" t="s">
        <v>31</v>
      </c>
      <c r="B103" s="99">
        <v>804901</v>
      </c>
      <c r="C103" s="99">
        <f aca="true" t="shared" si="13" ref="C103:C108">D103+E103+I103+M103</f>
        <v>625945</v>
      </c>
      <c r="D103" s="99">
        <v>21297</v>
      </c>
      <c r="E103" s="99">
        <v>26196</v>
      </c>
      <c r="F103" s="99"/>
      <c r="G103" s="99"/>
      <c r="H103" s="99"/>
      <c r="I103" s="100">
        <v>48134</v>
      </c>
      <c r="J103" s="100"/>
      <c r="K103" s="100"/>
      <c r="L103" s="100"/>
      <c r="M103" s="99">
        <v>530318</v>
      </c>
      <c r="N103" s="99"/>
      <c r="O103" s="133">
        <v>81339</v>
      </c>
      <c r="P103" s="99">
        <v>13</v>
      </c>
      <c r="Q103" s="99">
        <v>3344</v>
      </c>
      <c r="R103" s="99">
        <v>3124</v>
      </c>
      <c r="S103" s="99">
        <v>0</v>
      </c>
      <c r="T103" s="152">
        <v>261</v>
      </c>
      <c r="U103" s="99">
        <v>63847</v>
      </c>
      <c r="V103" s="99">
        <v>0</v>
      </c>
      <c r="W103" s="99">
        <v>1501443</v>
      </c>
      <c r="X103" s="43" t="s">
        <v>31</v>
      </c>
    </row>
    <row r="104" spans="1:24" ht="12.75" hidden="1">
      <c r="A104" s="44" t="s">
        <v>32</v>
      </c>
      <c r="B104" s="99">
        <v>839895</v>
      </c>
      <c r="C104" s="99">
        <f t="shared" si="13"/>
        <v>611467</v>
      </c>
      <c r="D104" s="99">
        <v>6000</v>
      </c>
      <c r="E104" s="99">
        <v>26434</v>
      </c>
      <c r="F104" s="99"/>
      <c r="G104" s="99"/>
      <c r="H104" s="99"/>
      <c r="I104" s="100">
        <v>48715</v>
      </c>
      <c r="J104" s="100"/>
      <c r="K104" s="100"/>
      <c r="L104" s="100"/>
      <c r="M104" s="99">
        <v>530318</v>
      </c>
      <c r="N104" s="99"/>
      <c r="O104" s="133">
        <v>68059</v>
      </c>
      <c r="P104" s="99">
        <v>13</v>
      </c>
      <c r="Q104" s="99">
        <v>2932</v>
      </c>
      <c r="R104" s="99">
        <v>3025</v>
      </c>
      <c r="S104" s="99">
        <v>11</v>
      </c>
      <c r="T104" s="152">
        <v>261</v>
      </c>
      <c r="U104" s="99">
        <v>61114</v>
      </c>
      <c r="V104" s="99">
        <v>0</v>
      </c>
      <c r="W104" s="99">
        <v>1518725</v>
      </c>
      <c r="X104" s="43" t="s">
        <v>32</v>
      </c>
    </row>
    <row r="105" spans="1:24" ht="12.75" hidden="1">
      <c r="A105" s="6" t="s">
        <v>87</v>
      </c>
      <c r="B105" s="99">
        <v>824393</v>
      </c>
      <c r="C105" s="99">
        <f t="shared" si="13"/>
        <v>619221</v>
      </c>
      <c r="D105" s="99">
        <v>6001</v>
      </c>
      <c r="E105" s="99">
        <v>24467</v>
      </c>
      <c r="F105" s="99"/>
      <c r="G105" s="99"/>
      <c r="H105" s="99"/>
      <c r="I105" s="100">
        <v>58435</v>
      </c>
      <c r="J105" s="100"/>
      <c r="K105" s="100"/>
      <c r="L105" s="100"/>
      <c r="M105" s="99">
        <v>530318</v>
      </c>
      <c r="N105" s="99"/>
      <c r="O105" s="133">
        <v>75072</v>
      </c>
      <c r="P105" s="99">
        <v>13</v>
      </c>
      <c r="Q105" s="99">
        <v>2505</v>
      </c>
      <c r="R105" s="99">
        <v>2686</v>
      </c>
      <c r="S105" s="99">
        <v>0</v>
      </c>
      <c r="T105" s="152">
        <v>261</v>
      </c>
      <c r="U105" s="99">
        <v>61949</v>
      </c>
      <c r="V105" s="99">
        <v>0</v>
      </c>
      <c r="W105" s="99">
        <v>1511029</v>
      </c>
      <c r="X105" s="6" t="s">
        <v>87</v>
      </c>
    </row>
    <row r="106" spans="1:24" ht="12.75" hidden="1">
      <c r="A106" s="44" t="s">
        <v>35</v>
      </c>
      <c r="B106" s="99">
        <v>819839</v>
      </c>
      <c r="C106" s="99">
        <f t="shared" si="13"/>
        <v>620232</v>
      </c>
      <c r="D106" s="99">
        <v>18045</v>
      </c>
      <c r="E106" s="99">
        <v>25813</v>
      </c>
      <c r="F106" s="99"/>
      <c r="G106" s="99"/>
      <c r="H106" s="99"/>
      <c r="I106" s="100">
        <v>46056</v>
      </c>
      <c r="J106" s="100"/>
      <c r="K106" s="100"/>
      <c r="L106" s="100"/>
      <c r="M106" s="99">
        <v>530318</v>
      </c>
      <c r="N106" s="99"/>
      <c r="O106" s="133">
        <v>76720</v>
      </c>
      <c r="P106" s="99">
        <v>13</v>
      </c>
      <c r="Q106" s="99">
        <v>2142</v>
      </c>
      <c r="R106" s="99">
        <v>3537</v>
      </c>
      <c r="S106" s="99">
        <v>0</v>
      </c>
      <c r="T106" s="152">
        <v>261</v>
      </c>
      <c r="U106" s="99">
        <v>59560</v>
      </c>
      <c r="V106" s="99">
        <v>0</v>
      </c>
      <c r="W106" s="99">
        <v>1505584</v>
      </c>
      <c r="X106" s="43" t="s">
        <v>35</v>
      </c>
    </row>
    <row r="107" spans="1:24" ht="12.75" hidden="1">
      <c r="A107" s="44" t="s">
        <v>36</v>
      </c>
      <c r="B107" s="99">
        <v>865600</v>
      </c>
      <c r="C107" s="99">
        <f t="shared" si="13"/>
        <v>584497</v>
      </c>
      <c r="D107" s="99">
        <v>23978</v>
      </c>
      <c r="E107" s="99">
        <v>30201</v>
      </c>
      <c r="F107" s="99"/>
      <c r="G107" s="99"/>
      <c r="H107" s="99"/>
      <c r="I107" s="100">
        <v>0</v>
      </c>
      <c r="J107" s="100"/>
      <c r="K107" s="100"/>
      <c r="L107" s="100"/>
      <c r="M107" s="99">
        <v>530318</v>
      </c>
      <c r="N107" s="99"/>
      <c r="O107" s="133">
        <v>34220</v>
      </c>
      <c r="P107" s="99">
        <v>13</v>
      </c>
      <c r="Q107" s="99">
        <v>1798</v>
      </c>
      <c r="R107" s="99">
        <v>4436</v>
      </c>
      <c r="S107" s="99">
        <v>0</v>
      </c>
      <c r="T107" s="152">
        <v>268</v>
      </c>
      <c r="U107" s="99">
        <v>60780</v>
      </c>
      <c r="V107" s="99">
        <v>0</v>
      </c>
      <c r="W107" s="99">
        <v>1517393</v>
      </c>
      <c r="X107" s="43" t="s">
        <v>36</v>
      </c>
    </row>
    <row r="108" spans="1:24" ht="12.75" hidden="1">
      <c r="A108" s="68" t="s">
        <v>88</v>
      </c>
      <c r="B108" s="99">
        <v>934917</v>
      </c>
      <c r="C108" s="99">
        <f t="shared" si="13"/>
        <v>591574</v>
      </c>
      <c r="D108" s="99">
        <v>33095</v>
      </c>
      <c r="E108" s="99">
        <v>28161</v>
      </c>
      <c r="F108" s="99"/>
      <c r="G108" s="99"/>
      <c r="H108" s="99"/>
      <c r="I108" s="100">
        <v>0</v>
      </c>
      <c r="J108" s="100"/>
      <c r="K108" s="100"/>
      <c r="L108" s="100"/>
      <c r="M108" s="99">
        <v>530318</v>
      </c>
      <c r="N108" s="99"/>
      <c r="O108" s="133">
        <v>-11793</v>
      </c>
      <c r="P108" s="99">
        <v>13</v>
      </c>
      <c r="Q108" s="99">
        <v>5595</v>
      </c>
      <c r="R108" s="99">
        <v>3356</v>
      </c>
      <c r="S108" s="99">
        <v>4875</v>
      </c>
      <c r="T108" s="152">
        <v>261</v>
      </c>
      <c r="U108" s="99">
        <v>56843</v>
      </c>
      <c r="V108" s="99">
        <v>0</v>
      </c>
      <c r="W108" s="99">
        <v>1597350</v>
      </c>
      <c r="X108" s="68" t="s">
        <v>88</v>
      </c>
    </row>
    <row r="109" ht="12.75" hidden="1"/>
    <row r="110" spans="1:24" ht="12.75" hidden="1">
      <c r="A110" s="67">
        <v>2006</v>
      </c>
      <c r="X110" s="67">
        <v>2006</v>
      </c>
    </row>
    <row r="111" spans="1:24" ht="12.75" hidden="1">
      <c r="A111" s="44" t="s">
        <v>25</v>
      </c>
      <c r="B111" s="99">
        <v>976359</v>
      </c>
      <c r="C111" s="153">
        <v>570630</v>
      </c>
      <c r="D111" s="99">
        <v>18337</v>
      </c>
      <c r="E111" s="99">
        <v>21016</v>
      </c>
      <c r="F111" s="99"/>
      <c r="G111" s="99"/>
      <c r="H111" s="99"/>
      <c r="I111" s="100">
        <v>0</v>
      </c>
      <c r="J111" s="100"/>
      <c r="K111" s="100"/>
      <c r="L111" s="100"/>
      <c r="M111" s="99">
        <v>530233</v>
      </c>
      <c r="N111" s="99"/>
      <c r="O111" s="133">
        <v>-47895</v>
      </c>
      <c r="P111" s="99">
        <v>13</v>
      </c>
      <c r="Q111" s="99">
        <v>3747</v>
      </c>
      <c r="R111" s="99">
        <v>4859</v>
      </c>
      <c r="S111" s="99">
        <v>4900</v>
      </c>
      <c r="T111" s="152">
        <v>262</v>
      </c>
      <c r="U111" s="99">
        <v>61872</v>
      </c>
      <c r="V111" s="99">
        <v>0</v>
      </c>
      <c r="W111" s="99">
        <v>1622641</v>
      </c>
      <c r="X111" s="44" t="s">
        <v>25</v>
      </c>
    </row>
    <row r="112" spans="1:24" ht="12.75" hidden="1">
      <c r="A112" s="44" t="s">
        <v>26</v>
      </c>
      <c r="B112" s="99">
        <v>965265</v>
      </c>
      <c r="C112" s="99">
        <v>570278</v>
      </c>
      <c r="D112" s="99">
        <v>1875</v>
      </c>
      <c r="E112" s="99">
        <v>21670</v>
      </c>
      <c r="F112" s="99"/>
      <c r="G112" s="99"/>
      <c r="H112" s="99"/>
      <c r="I112" s="99">
        <v>0</v>
      </c>
      <c r="J112" s="99"/>
      <c r="K112" s="99"/>
      <c r="L112" s="99"/>
      <c r="M112" s="99">
        <v>530233</v>
      </c>
      <c r="N112" s="99"/>
      <c r="O112" s="99">
        <v>-21889</v>
      </c>
      <c r="P112" s="99">
        <v>13</v>
      </c>
      <c r="Q112" s="99">
        <v>3440</v>
      </c>
      <c r="R112" s="99">
        <v>261</v>
      </c>
      <c r="S112" s="99">
        <v>4900</v>
      </c>
      <c r="T112" s="99">
        <v>276</v>
      </c>
      <c r="U112" s="99">
        <v>61219</v>
      </c>
      <c r="V112" s="99">
        <v>156942</v>
      </c>
      <c r="W112" s="99">
        <v>1762594</v>
      </c>
      <c r="X112" s="44" t="s">
        <v>26</v>
      </c>
    </row>
    <row r="113" spans="1:24" ht="12.75" hidden="1">
      <c r="A113" s="44" t="s">
        <v>114</v>
      </c>
      <c r="B113" s="99">
        <v>951292</v>
      </c>
      <c r="C113" s="99">
        <v>576018</v>
      </c>
      <c r="D113" s="99">
        <v>25844</v>
      </c>
      <c r="E113" s="99">
        <v>19942</v>
      </c>
      <c r="F113" s="99"/>
      <c r="G113" s="99"/>
      <c r="H113" s="99"/>
      <c r="I113" s="99">
        <v>0</v>
      </c>
      <c r="J113" s="99"/>
      <c r="K113" s="99"/>
      <c r="L113" s="99"/>
      <c r="M113" s="99">
        <v>530233</v>
      </c>
      <c r="N113" s="99"/>
      <c r="O113" s="99">
        <v>-5200</v>
      </c>
      <c r="P113" s="99">
        <v>58</v>
      </c>
      <c r="Q113" s="99">
        <v>3858</v>
      </c>
      <c r="R113" s="99">
        <v>1513</v>
      </c>
      <c r="S113" s="99">
        <v>4875</v>
      </c>
      <c r="T113" s="99">
        <v>259</v>
      </c>
      <c r="U113" s="99">
        <v>61154</v>
      </c>
      <c r="V113" s="99">
        <v>0</v>
      </c>
      <c r="W113" s="99">
        <v>1599027</v>
      </c>
      <c r="X113" s="44" t="s">
        <v>114</v>
      </c>
    </row>
    <row r="114" spans="1:24" ht="12.75" hidden="1">
      <c r="A114" s="44" t="s">
        <v>28</v>
      </c>
      <c r="B114" s="99">
        <v>938925</v>
      </c>
      <c r="C114" s="99">
        <v>582258</v>
      </c>
      <c r="D114" s="99">
        <v>32237</v>
      </c>
      <c r="E114" s="99">
        <v>19788</v>
      </c>
      <c r="F114" s="99"/>
      <c r="G114" s="99"/>
      <c r="H114" s="99"/>
      <c r="I114" s="99">
        <v>0</v>
      </c>
      <c r="J114" s="99"/>
      <c r="K114" s="99"/>
      <c r="L114" s="99"/>
      <c r="M114" s="99">
        <v>530233</v>
      </c>
      <c r="N114" s="99"/>
      <c r="O114" s="99">
        <v>15487</v>
      </c>
      <c r="P114" s="99">
        <v>13</v>
      </c>
      <c r="Q114" s="99">
        <v>4567</v>
      </c>
      <c r="R114" s="99">
        <v>2498</v>
      </c>
      <c r="S114" s="99">
        <v>4875</v>
      </c>
      <c r="T114" s="99">
        <v>796</v>
      </c>
      <c r="U114" s="99">
        <v>63185</v>
      </c>
      <c r="V114" s="99">
        <v>0</v>
      </c>
      <c r="W114" s="99">
        <v>1597120</v>
      </c>
      <c r="X114" s="44" t="s">
        <v>28</v>
      </c>
    </row>
    <row r="115" spans="1:24" ht="12.75" hidden="1">
      <c r="A115" s="44" t="s">
        <v>29</v>
      </c>
      <c r="B115" s="99">
        <v>957278</v>
      </c>
      <c r="C115" s="99">
        <v>582813</v>
      </c>
      <c r="D115" s="99">
        <v>31760</v>
      </c>
      <c r="E115" s="99">
        <v>20820</v>
      </c>
      <c r="F115" s="99"/>
      <c r="G115" s="99"/>
      <c r="H115" s="99"/>
      <c r="I115" s="99">
        <v>0</v>
      </c>
      <c r="J115" s="99"/>
      <c r="K115" s="99"/>
      <c r="L115" s="99"/>
      <c r="M115" s="99">
        <v>530233</v>
      </c>
      <c r="N115" s="99"/>
      <c r="O115" s="99">
        <v>24633</v>
      </c>
      <c r="P115" s="99">
        <v>13</v>
      </c>
      <c r="Q115" s="99">
        <v>3774</v>
      </c>
      <c r="R115" s="99">
        <v>5410</v>
      </c>
      <c r="S115" s="99">
        <v>4875</v>
      </c>
      <c r="T115" s="99">
        <v>794</v>
      </c>
      <c r="U115" s="99">
        <v>74627</v>
      </c>
      <c r="V115" s="99">
        <v>0</v>
      </c>
      <c r="W115" s="99">
        <v>1629584</v>
      </c>
      <c r="X115" s="44" t="s">
        <v>29</v>
      </c>
    </row>
    <row r="116" spans="1:24" ht="12.75" hidden="1">
      <c r="A116" s="44" t="s">
        <v>86</v>
      </c>
      <c r="B116" s="99">
        <v>1036976</v>
      </c>
      <c r="C116" s="99">
        <v>584216</v>
      </c>
      <c r="D116" s="99">
        <v>36110</v>
      </c>
      <c r="E116" s="99">
        <v>17873</v>
      </c>
      <c r="F116" s="99"/>
      <c r="G116" s="99"/>
      <c r="H116" s="99"/>
      <c r="I116" s="99">
        <v>0</v>
      </c>
      <c r="J116" s="99"/>
      <c r="K116" s="99"/>
      <c r="L116" s="99"/>
      <c r="M116" s="99">
        <v>530233</v>
      </c>
      <c r="N116" s="99"/>
      <c r="O116" s="99">
        <v>-59751</v>
      </c>
      <c r="P116" s="99">
        <v>13</v>
      </c>
      <c r="Q116" s="99">
        <v>3387</v>
      </c>
      <c r="R116" s="99">
        <v>34</v>
      </c>
      <c r="S116" s="99">
        <v>4875</v>
      </c>
      <c r="T116" s="99">
        <v>280</v>
      </c>
      <c r="U116" s="99">
        <v>60548</v>
      </c>
      <c r="V116" s="99">
        <v>0</v>
      </c>
      <c r="W116" s="99">
        <v>1690330</v>
      </c>
      <c r="X116" s="44" t="s">
        <v>86</v>
      </c>
    </row>
    <row r="117" spans="1:24" ht="12.75" hidden="1">
      <c r="A117" s="44" t="s">
        <v>31</v>
      </c>
      <c r="B117" s="99">
        <v>1036270</v>
      </c>
      <c r="C117" s="99">
        <v>570922</v>
      </c>
      <c r="D117" s="99">
        <v>23168</v>
      </c>
      <c r="E117" s="99">
        <v>17521</v>
      </c>
      <c r="F117" s="99"/>
      <c r="G117" s="99"/>
      <c r="H117" s="99"/>
      <c r="I117" s="99">
        <v>0</v>
      </c>
      <c r="J117" s="99"/>
      <c r="K117" s="99"/>
      <c r="L117" s="99"/>
      <c r="M117" s="99">
        <v>530233</v>
      </c>
      <c r="N117" s="99"/>
      <c r="O117" s="133">
        <v>-57143</v>
      </c>
      <c r="P117" s="99">
        <v>13</v>
      </c>
      <c r="Q117" s="99">
        <v>2994</v>
      </c>
      <c r="R117" s="99">
        <v>3476</v>
      </c>
      <c r="S117" s="99">
        <v>4875</v>
      </c>
      <c r="T117" s="99">
        <v>754</v>
      </c>
      <c r="U117" s="99">
        <v>61580</v>
      </c>
      <c r="V117" s="99">
        <v>0</v>
      </c>
      <c r="W117" s="99">
        <v>1680885</v>
      </c>
      <c r="X117" s="44" t="s">
        <v>31</v>
      </c>
    </row>
    <row r="118" spans="1:24" ht="12.75" hidden="1">
      <c r="A118" s="44" t="s">
        <v>32</v>
      </c>
      <c r="B118" s="99">
        <v>1018487</v>
      </c>
      <c r="C118" s="99">
        <v>553883</v>
      </c>
      <c r="D118" s="99">
        <v>6000</v>
      </c>
      <c r="E118" s="99">
        <v>17651</v>
      </c>
      <c r="F118" s="99"/>
      <c r="G118" s="99"/>
      <c r="H118" s="99"/>
      <c r="I118" s="99">
        <v>0</v>
      </c>
      <c r="J118" s="99"/>
      <c r="K118" s="99"/>
      <c r="L118" s="99"/>
      <c r="M118" s="99">
        <v>530233</v>
      </c>
      <c r="N118" s="99"/>
      <c r="O118" s="99">
        <v>-14199</v>
      </c>
      <c r="P118" s="99">
        <v>13</v>
      </c>
      <c r="Q118" s="99">
        <v>3151</v>
      </c>
      <c r="R118" s="99">
        <v>34</v>
      </c>
      <c r="S118" s="99">
        <v>4875</v>
      </c>
      <c r="T118" s="99">
        <v>262</v>
      </c>
      <c r="U118" s="99">
        <v>61455</v>
      </c>
      <c r="V118" s="99">
        <v>0</v>
      </c>
      <c r="W118" s="99">
        <v>1642162</v>
      </c>
      <c r="X118" s="44" t="s">
        <v>32</v>
      </c>
    </row>
    <row r="119" spans="1:24" ht="12.75" hidden="1">
      <c r="A119" s="44" t="s">
        <v>87</v>
      </c>
      <c r="B119" s="99">
        <v>1004557</v>
      </c>
      <c r="C119" s="99">
        <v>552720</v>
      </c>
      <c r="D119" s="99">
        <v>6000</v>
      </c>
      <c r="E119" s="99">
        <v>16487</v>
      </c>
      <c r="F119" s="99"/>
      <c r="G119" s="99"/>
      <c r="H119" s="99"/>
      <c r="I119" s="99">
        <v>0</v>
      </c>
      <c r="J119" s="99"/>
      <c r="K119" s="99"/>
      <c r="L119" s="99"/>
      <c r="M119" s="99">
        <v>530233</v>
      </c>
      <c r="N119" s="99"/>
      <c r="O119" s="99">
        <v>1581</v>
      </c>
      <c r="P119" s="99">
        <v>13</v>
      </c>
      <c r="Q119" s="99">
        <v>3492</v>
      </c>
      <c r="R119" s="99">
        <v>34</v>
      </c>
      <c r="S119" s="99">
        <v>4912</v>
      </c>
      <c r="T119" s="99">
        <v>263</v>
      </c>
      <c r="U119" s="99">
        <v>60063</v>
      </c>
      <c r="V119" s="99">
        <v>0</v>
      </c>
      <c r="W119" s="99">
        <v>1626055</v>
      </c>
      <c r="X119" s="44" t="s">
        <v>87</v>
      </c>
    </row>
    <row r="120" spans="1:24" ht="12.75" hidden="1">
      <c r="A120" s="44" t="s">
        <v>35</v>
      </c>
      <c r="B120" s="99">
        <v>997980</v>
      </c>
      <c r="C120" s="99">
        <v>559575</v>
      </c>
      <c r="D120" s="99">
        <v>8023</v>
      </c>
      <c r="E120" s="99">
        <v>13847</v>
      </c>
      <c r="F120" s="99"/>
      <c r="G120" s="99"/>
      <c r="H120" s="99"/>
      <c r="I120" s="99">
        <v>7472</v>
      </c>
      <c r="J120" s="99"/>
      <c r="K120" s="99"/>
      <c r="L120" s="99"/>
      <c r="M120" s="99">
        <v>530233</v>
      </c>
      <c r="N120" s="99"/>
      <c r="O120" s="99">
        <v>14999</v>
      </c>
      <c r="P120" s="99">
        <v>13</v>
      </c>
      <c r="Q120" s="99">
        <v>3388</v>
      </c>
      <c r="R120" s="99">
        <v>1739</v>
      </c>
      <c r="S120" s="99">
        <v>4875</v>
      </c>
      <c r="T120" s="99">
        <v>262</v>
      </c>
      <c r="U120" s="99">
        <v>66960</v>
      </c>
      <c r="V120" s="99">
        <v>0</v>
      </c>
      <c r="W120" s="99">
        <v>1634792</v>
      </c>
      <c r="X120" s="44" t="s">
        <v>35</v>
      </c>
    </row>
    <row r="121" spans="1:24" ht="12.75" hidden="1">
      <c r="A121" s="44" t="s">
        <v>36</v>
      </c>
      <c r="B121" s="99">
        <v>986790</v>
      </c>
      <c r="C121" s="99">
        <v>568370</v>
      </c>
      <c r="D121" s="99">
        <v>20108</v>
      </c>
      <c r="E121" s="99">
        <v>8765</v>
      </c>
      <c r="F121" s="99"/>
      <c r="G121" s="99"/>
      <c r="H121" s="99"/>
      <c r="I121" s="99">
        <v>39264</v>
      </c>
      <c r="J121" s="99"/>
      <c r="K121" s="99"/>
      <c r="L121" s="99"/>
      <c r="M121" s="99">
        <v>500233</v>
      </c>
      <c r="N121" s="99">
        <v>14691</v>
      </c>
      <c r="O121" s="99">
        <v>51639</v>
      </c>
      <c r="P121" s="99">
        <v>13</v>
      </c>
      <c r="Q121" s="99">
        <v>3256</v>
      </c>
      <c r="R121" s="99">
        <v>2595</v>
      </c>
      <c r="S121" s="99">
        <v>4875</v>
      </c>
      <c r="T121" s="99">
        <v>263</v>
      </c>
      <c r="U121" s="99">
        <v>66298</v>
      </c>
      <c r="V121" s="99">
        <v>0</v>
      </c>
      <c r="W121" s="99">
        <v>1677157</v>
      </c>
      <c r="X121" s="44" t="s">
        <v>36</v>
      </c>
    </row>
    <row r="122" spans="1:24" s="126" customFormat="1" ht="12.75" hidden="1">
      <c r="A122" s="85" t="s">
        <v>88</v>
      </c>
      <c r="B122" s="99">
        <v>1058747</v>
      </c>
      <c r="C122" s="99">
        <v>528204</v>
      </c>
      <c r="D122" s="99">
        <v>40024</v>
      </c>
      <c r="E122" s="99">
        <v>7947</v>
      </c>
      <c r="F122" s="99"/>
      <c r="G122" s="99"/>
      <c r="H122" s="99"/>
      <c r="I122" s="99">
        <v>0</v>
      </c>
      <c r="J122" s="99"/>
      <c r="K122" s="99"/>
      <c r="L122" s="99"/>
      <c r="M122" s="99">
        <v>480233</v>
      </c>
      <c r="N122" s="99">
        <v>35421</v>
      </c>
      <c r="O122" s="99">
        <v>34689</v>
      </c>
      <c r="P122" s="99">
        <v>13</v>
      </c>
      <c r="Q122" s="99">
        <v>2772</v>
      </c>
      <c r="R122" s="99">
        <v>3136</v>
      </c>
      <c r="S122" s="99">
        <v>4875</v>
      </c>
      <c r="T122" s="99">
        <v>263</v>
      </c>
      <c r="U122" s="99">
        <v>94300</v>
      </c>
      <c r="V122" s="99">
        <v>0</v>
      </c>
      <c r="W122" s="99">
        <v>1777730</v>
      </c>
      <c r="X122" s="85" t="s">
        <v>88</v>
      </c>
    </row>
    <row r="123" spans="1:24" ht="12.75" hidden="1">
      <c r="A123" s="44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44"/>
    </row>
    <row r="124" spans="1:24" ht="12.75" hidden="1">
      <c r="A124" s="67">
        <v>2007</v>
      </c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67">
        <v>2007</v>
      </c>
    </row>
    <row r="125" spans="1:24" ht="12.75" hidden="1">
      <c r="A125" s="44" t="s">
        <v>25</v>
      </c>
      <c r="B125" s="99">
        <v>1060722</v>
      </c>
      <c r="C125" s="99">
        <v>533558</v>
      </c>
      <c r="D125" s="99">
        <v>33661</v>
      </c>
      <c r="E125" s="99">
        <v>13966</v>
      </c>
      <c r="F125" s="99"/>
      <c r="G125" s="99"/>
      <c r="H125" s="99"/>
      <c r="I125" s="99">
        <v>5699</v>
      </c>
      <c r="J125" s="99"/>
      <c r="K125" s="99"/>
      <c r="L125" s="99"/>
      <c r="M125" s="99">
        <v>480233</v>
      </c>
      <c r="N125" s="99">
        <v>33362</v>
      </c>
      <c r="O125" s="133">
        <v>35577</v>
      </c>
      <c r="P125" s="99">
        <v>13</v>
      </c>
      <c r="Q125" s="99">
        <v>5392</v>
      </c>
      <c r="R125" s="99">
        <v>34</v>
      </c>
      <c r="S125" s="99">
        <v>4876</v>
      </c>
      <c r="T125" s="99">
        <v>263</v>
      </c>
      <c r="U125" s="99">
        <v>97823</v>
      </c>
      <c r="V125" s="99">
        <v>0</v>
      </c>
      <c r="W125" s="99">
        <v>1786044</v>
      </c>
      <c r="X125" s="44" t="s">
        <v>25</v>
      </c>
    </row>
    <row r="126" spans="1:24" ht="12.75" hidden="1">
      <c r="A126" s="44" t="s">
        <v>26</v>
      </c>
      <c r="B126" s="99">
        <v>1059862</v>
      </c>
      <c r="C126" s="99">
        <v>535889</v>
      </c>
      <c r="D126" s="99">
        <v>28410</v>
      </c>
      <c r="E126" s="99">
        <v>13338</v>
      </c>
      <c r="F126" s="99"/>
      <c r="G126" s="99"/>
      <c r="H126" s="99"/>
      <c r="I126" s="99">
        <v>13908</v>
      </c>
      <c r="J126" s="99"/>
      <c r="K126" s="99"/>
      <c r="L126" s="99"/>
      <c r="M126" s="99">
        <v>480233</v>
      </c>
      <c r="N126" s="99">
        <v>31951</v>
      </c>
      <c r="O126" s="133">
        <v>38531</v>
      </c>
      <c r="P126" s="99">
        <v>13</v>
      </c>
      <c r="Q126" s="99">
        <v>5673</v>
      </c>
      <c r="R126" s="99">
        <v>2801</v>
      </c>
      <c r="S126" s="99">
        <v>4875</v>
      </c>
      <c r="T126" s="99">
        <v>263</v>
      </c>
      <c r="U126" s="99">
        <v>96235</v>
      </c>
      <c r="V126" s="99">
        <v>0</v>
      </c>
      <c r="W126" s="99">
        <v>1787562</v>
      </c>
      <c r="X126" s="44" t="s">
        <v>26</v>
      </c>
    </row>
    <row r="127" spans="1:24" ht="12.75" hidden="1">
      <c r="A127" s="44" t="s">
        <v>114</v>
      </c>
      <c r="B127" s="99">
        <v>1048452</v>
      </c>
      <c r="C127" s="99">
        <v>558426</v>
      </c>
      <c r="D127" s="99">
        <v>37695</v>
      </c>
      <c r="E127" s="99">
        <v>13906</v>
      </c>
      <c r="F127" s="99"/>
      <c r="G127" s="99"/>
      <c r="H127" s="99"/>
      <c r="I127" s="99">
        <v>26592</v>
      </c>
      <c r="J127" s="99"/>
      <c r="K127" s="99"/>
      <c r="L127" s="99"/>
      <c r="M127" s="99">
        <v>480233</v>
      </c>
      <c r="N127" s="99">
        <v>38235</v>
      </c>
      <c r="O127" s="133">
        <v>64595</v>
      </c>
      <c r="P127" s="99">
        <v>13</v>
      </c>
      <c r="Q127" s="99">
        <v>6338</v>
      </c>
      <c r="R127" s="99">
        <v>5572</v>
      </c>
      <c r="S127" s="99">
        <v>4875</v>
      </c>
      <c r="T127" s="99">
        <v>263</v>
      </c>
      <c r="U127" s="99">
        <v>94335</v>
      </c>
      <c r="V127" s="99">
        <v>0</v>
      </c>
      <c r="W127" s="99">
        <v>1806508</v>
      </c>
      <c r="X127" s="44" t="s">
        <v>27</v>
      </c>
    </row>
    <row r="128" spans="1:24" ht="12.75" hidden="1">
      <c r="A128" s="44" t="s">
        <v>28</v>
      </c>
      <c r="B128" s="99">
        <v>1066100</v>
      </c>
      <c r="C128" s="99">
        <v>577528</v>
      </c>
      <c r="D128" s="99">
        <v>69454</v>
      </c>
      <c r="E128" s="99">
        <v>12133</v>
      </c>
      <c r="F128" s="99"/>
      <c r="G128" s="99"/>
      <c r="H128" s="99"/>
      <c r="I128" s="99">
        <v>15709</v>
      </c>
      <c r="J128" s="99"/>
      <c r="K128" s="99"/>
      <c r="L128" s="99"/>
      <c r="M128" s="99">
        <v>480233</v>
      </c>
      <c r="N128" s="99">
        <v>41398</v>
      </c>
      <c r="O128" s="133">
        <v>85251</v>
      </c>
      <c r="P128" s="99">
        <v>13</v>
      </c>
      <c r="Q128" s="99">
        <v>6656</v>
      </c>
      <c r="R128" s="99">
        <v>4076</v>
      </c>
      <c r="S128" s="99">
        <v>4875</v>
      </c>
      <c r="T128" s="99">
        <v>263</v>
      </c>
      <c r="U128" s="99">
        <v>93040</v>
      </c>
      <c r="V128" s="99">
        <v>0</v>
      </c>
      <c r="W128" s="99">
        <v>1843950</v>
      </c>
      <c r="X128" s="44" t="s">
        <v>28</v>
      </c>
    </row>
    <row r="129" spans="1:24" ht="12.75" hidden="1">
      <c r="A129" s="44" t="s">
        <v>29</v>
      </c>
      <c r="B129" s="99">
        <v>1036502</v>
      </c>
      <c r="C129" s="99">
        <v>566617</v>
      </c>
      <c r="D129" s="99">
        <v>75037</v>
      </c>
      <c r="E129" s="99">
        <v>13786</v>
      </c>
      <c r="F129" s="99"/>
      <c r="G129" s="99"/>
      <c r="H129" s="99"/>
      <c r="I129" s="99">
        <v>61</v>
      </c>
      <c r="J129" s="99"/>
      <c r="K129" s="99"/>
      <c r="L129" s="99"/>
      <c r="M129" s="99">
        <v>477733</v>
      </c>
      <c r="N129" s="99">
        <v>46325</v>
      </c>
      <c r="O129" s="133">
        <v>73613</v>
      </c>
      <c r="P129" s="99">
        <v>13</v>
      </c>
      <c r="Q129" s="99">
        <v>5847</v>
      </c>
      <c r="R129" s="99">
        <v>4450</v>
      </c>
      <c r="S129" s="99">
        <v>4916</v>
      </c>
      <c r="T129" s="99">
        <v>263</v>
      </c>
      <c r="U129" s="99">
        <v>93860</v>
      </c>
      <c r="V129" s="99">
        <v>0</v>
      </c>
      <c r="W129" s="99">
        <v>1811293</v>
      </c>
      <c r="X129" s="44" t="s">
        <v>29</v>
      </c>
    </row>
    <row r="130" spans="1:24" ht="12.75" hidden="1">
      <c r="A130" s="44" t="s">
        <v>86</v>
      </c>
      <c r="B130" s="99">
        <v>1046582</v>
      </c>
      <c r="C130" s="99">
        <v>574683</v>
      </c>
      <c r="D130" s="99">
        <v>83097</v>
      </c>
      <c r="E130" s="99">
        <v>13854</v>
      </c>
      <c r="F130" s="99"/>
      <c r="G130" s="99"/>
      <c r="H130" s="99"/>
      <c r="I130" s="99">
        <v>0</v>
      </c>
      <c r="J130" s="99"/>
      <c r="K130" s="99"/>
      <c r="L130" s="99"/>
      <c r="M130" s="99">
        <v>477733</v>
      </c>
      <c r="N130" s="99">
        <v>42325</v>
      </c>
      <c r="O130" s="133">
        <v>67645</v>
      </c>
      <c r="P130" s="99">
        <v>13</v>
      </c>
      <c r="Q130" s="99">
        <v>5622</v>
      </c>
      <c r="R130" s="99">
        <v>4939</v>
      </c>
      <c r="S130" s="99">
        <v>4875</v>
      </c>
      <c r="T130" s="99">
        <v>263</v>
      </c>
      <c r="U130" s="99">
        <v>103482</v>
      </c>
      <c r="V130" s="99">
        <v>0</v>
      </c>
      <c r="W130" s="99">
        <v>1835286</v>
      </c>
      <c r="X130" s="44" t="s">
        <v>30</v>
      </c>
    </row>
    <row r="131" spans="1:24" ht="12.75" hidden="1">
      <c r="A131" s="44" t="s">
        <v>31</v>
      </c>
      <c r="B131" s="99">
        <v>1049172</v>
      </c>
      <c r="C131" s="99">
        <v>581284</v>
      </c>
      <c r="D131" s="99">
        <v>86106</v>
      </c>
      <c r="E131" s="99">
        <v>14060</v>
      </c>
      <c r="F131" s="99"/>
      <c r="G131" s="99"/>
      <c r="H131" s="99"/>
      <c r="I131" s="99">
        <v>3384</v>
      </c>
      <c r="J131" s="99"/>
      <c r="K131" s="99"/>
      <c r="L131" s="99"/>
      <c r="M131" s="99">
        <v>477733</v>
      </c>
      <c r="N131" s="100">
        <v>46325</v>
      </c>
      <c r="O131" s="133">
        <v>89649</v>
      </c>
      <c r="P131" s="99">
        <v>13</v>
      </c>
      <c r="Q131" s="99">
        <v>5498</v>
      </c>
      <c r="R131" s="99">
        <v>35</v>
      </c>
      <c r="S131" s="99">
        <v>4875</v>
      </c>
      <c r="T131" s="99">
        <v>263</v>
      </c>
      <c r="U131" s="99">
        <v>102372</v>
      </c>
      <c r="V131" s="99">
        <v>0</v>
      </c>
      <c r="W131" s="99">
        <v>1842337</v>
      </c>
      <c r="X131" s="44" t="s">
        <v>31</v>
      </c>
    </row>
    <row r="132" spans="1:24" ht="12.75" hidden="1">
      <c r="A132" s="44" t="s">
        <v>32</v>
      </c>
      <c r="B132" s="99">
        <v>1075923</v>
      </c>
      <c r="C132" s="99">
        <v>567238</v>
      </c>
      <c r="D132" s="99">
        <v>66221</v>
      </c>
      <c r="E132" s="99">
        <v>23280</v>
      </c>
      <c r="F132" s="99"/>
      <c r="G132" s="99"/>
      <c r="H132" s="99"/>
      <c r="I132" s="99">
        <v>0</v>
      </c>
      <c r="J132" s="99"/>
      <c r="K132" s="99"/>
      <c r="L132" s="99"/>
      <c r="M132" s="99">
        <v>477733</v>
      </c>
      <c r="N132" s="99">
        <v>46819</v>
      </c>
      <c r="O132" s="133">
        <v>65573</v>
      </c>
      <c r="P132" s="99">
        <v>13</v>
      </c>
      <c r="Q132" s="99">
        <v>5035</v>
      </c>
      <c r="R132" s="99">
        <v>5530</v>
      </c>
      <c r="S132" s="99">
        <v>4875</v>
      </c>
      <c r="T132" s="99">
        <v>263</v>
      </c>
      <c r="U132" s="99">
        <v>102824</v>
      </c>
      <c r="V132" s="99">
        <v>0</v>
      </c>
      <c r="W132" s="99">
        <v>1861021</v>
      </c>
      <c r="X132" s="44" t="s">
        <v>32</v>
      </c>
    </row>
    <row r="133" spans="1:24" ht="12.75" hidden="1">
      <c r="A133" s="44" t="s">
        <v>87</v>
      </c>
      <c r="B133" s="99">
        <v>1078478</v>
      </c>
      <c r="C133" s="99">
        <v>559787</v>
      </c>
      <c r="D133" s="99">
        <v>57521</v>
      </c>
      <c r="E133" s="99">
        <v>24533</v>
      </c>
      <c r="F133" s="99"/>
      <c r="G133" s="99"/>
      <c r="H133" s="99"/>
      <c r="I133" s="99">
        <v>0</v>
      </c>
      <c r="J133" s="99"/>
      <c r="K133" s="99"/>
      <c r="L133" s="99"/>
      <c r="M133" s="99">
        <v>477733</v>
      </c>
      <c r="N133" s="99">
        <v>26819</v>
      </c>
      <c r="O133" s="133">
        <v>68709</v>
      </c>
      <c r="P133" s="99">
        <v>13</v>
      </c>
      <c r="Q133" s="99">
        <v>4363</v>
      </c>
      <c r="R133" s="99">
        <v>3918</v>
      </c>
      <c r="S133" s="99">
        <v>4875</v>
      </c>
      <c r="T133" s="99">
        <v>263</v>
      </c>
      <c r="U133" s="99">
        <v>99096</v>
      </c>
      <c r="V133" s="99">
        <v>0</v>
      </c>
      <c r="W133" s="99">
        <v>1830113</v>
      </c>
      <c r="X133" s="44" t="s">
        <v>33</v>
      </c>
    </row>
    <row r="134" spans="1:24" ht="12.75" hidden="1">
      <c r="A134" s="44" t="s">
        <v>35</v>
      </c>
      <c r="B134" s="99">
        <v>1083742.32405261</v>
      </c>
      <c r="C134" s="99">
        <v>583300.62931607</v>
      </c>
      <c r="D134" s="100">
        <v>72849</v>
      </c>
      <c r="E134" s="99">
        <v>26770.25</v>
      </c>
      <c r="F134" s="99"/>
      <c r="G134" s="99"/>
      <c r="H134" s="99"/>
      <c r="I134" s="99">
        <v>5948.5</v>
      </c>
      <c r="J134" s="99"/>
      <c r="K134" s="99"/>
      <c r="L134" s="99"/>
      <c r="M134" s="99">
        <v>477732.92931607</v>
      </c>
      <c r="N134" s="100">
        <v>23023</v>
      </c>
      <c r="O134" s="133">
        <v>94643.06032453997</v>
      </c>
      <c r="P134" s="99">
        <v>13.25670586</v>
      </c>
      <c r="Q134" s="99">
        <v>4135.07501301</v>
      </c>
      <c r="R134" s="99">
        <v>2431.9402226999996</v>
      </c>
      <c r="S134" s="99">
        <v>4875.170954</v>
      </c>
      <c r="T134" s="99">
        <v>263.97562865</v>
      </c>
      <c r="U134" s="99">
        <v>100201.53677462999</v>
      </c>
      <c r="V134" s="99">
        <v>0</v>
      </c>
      <c r="W134" s="99">
        <v>1854486.90866753</v>
      </c>
      <c r="X134" s="44" t="s">
        <v>35</v>
      </c>
    </row>
    <row r="135" spans="1:24" ht="12.75" hidden="1">
      <c r="A135" s="44" t="s">
        <v>36</v>
      </c>
      <c r="B135" s="99">
        <v>1118495.56766655</v>
      </c>
      <c r="C135" s="99">
        <v>566269.15931607</v>
      </c>
      <c r="D135" s="100">
        <v>52659</v>
      </c>
      <c r="E135" s="99">
        <v>27138.75</v>
      </c>
      <c r="F135" s="99"/>
      <c r="G135" s="99"/>
      <c r="H135" s="99"/>
      <c r="I135" s="99">
        <v>8738.48</v>
      </c>
      <c r="J135" s="99"/>
      <c r="K135" s="99"/>
      <c r="L135" s="99"/>
      <c r="M135" s="99">
        <v>477732.92931607</v>
      </c>
      <c r="N135" s="100">
        <v>18337</v>
      </c>
      <c r="O135" s="133">
        <v>77262.52268188004</v>
      </c>
      <c r="P135" s="99">
        <v>13.25670586</v>
      </c>
      <c r="Q135" s="99">
        <v>3558.98658152</v>
      </c>
      <c r="R135" s="99">
        <v>4959.68522712</v>
      </c>
      <c r="S135" s="99">
        <v>4875.170954</v>
      </c>
      <c r="T135" s="99">
        <v>264.31033445</v>
      </c>
      <c r="U135" s="99">
        <v>100069.25093734999</v>
      </c>
      <c r="V135" s="99">
        <v>0</v>
      </c>
      <c r="W135" s="99">
        <v>1869346.16952197</v>
      </c>
      <c r="X135" s="44" t="s">
        <v>36</v>
      </c>
    </row>
    <row r="136" spans="1:24" s="126" customFormat="1" ht="12.75" hidden="1">
      <c r="A136" s="85" t="s">
        <v>88</v>
      </c>
      <c r="B136" s="99">
        <v>1133933</v>
      </c>
      <c r="C136" s="99">
        <v>101247.2</v>
      </c>
      <c r="D136" s="133">
        <v>72121</v>
      </c>
      <c r="E136" s="99">
        <v>29126.2</v>
      </c>
      <c r="F136" s="99"/>
      <c r="G136" s="99"/>
      <c r="H136" s="99"/>
      <c r="I136" s="99">
        <v>0</v>
      </c>
      <c r="J136" s="99"/>
      <c r="K136" s="99"/>
      <c r="L136" s="99"/>
      <c r="M136" s="99">
        <v>0</v>
      </c>
      <c r="N136" s="133">
        <v>23237</v>
      </c>
      <c r="O136" s="133">
        <v>37953.98373833999</v>
      </c>
      <c r="P136" s="99">
        <v>13.25670586</v>
      </c>
      <c r="Q136" s="99">
        <v>2944.85208289</v>
      </c>
      <c r="R136" s="99">
        <v>769.5747170300001</v>
      </c>
      <c r="S136" s="99">
        <v>4875.170954</v>
      </c>
      <c r="T136" s="99">
        <v>263.8906574</v>
      </c>
      <c r="U136" s="99">
        <v>542153.42202937</v>
      </c>
      <c r="V136" s="99">
        <v>0</v>
      </c>
      <c r="W136" s="99">
        <v>1911937</v>
      </c>
      <c r="X136" s="85" t="s">
        <v>37</v>
      </c>
    </row>
    <row r="137" spans="1:24" ht="12.75">
      <c r="A137" s="44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44"/>
    </row>
    <row r="138" spans="1:24" ht="12.75" hidden="1">
      <c r="A138" s="67">
        <v>2008</v>
      </c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67">
        <v>2008</v>
      </c>
    </row>
    <row r="139" spans="1:24" ht="12.75" hidden="1">
      <c r="A139" s="44" t="s">
        <v>25</v>
      </c>
      <c r="B139" s="99">
        <v>1131424.24703261</v>
      </c>
      <c r="C139" s="99">
        <f aca="true" t="shared" si="14" ref="C139:C146">D139+E139+I139+M139</f>
        <v>65271.100000000006</v>
      </c>
      <c r="D139" s="100">
        <v>35207.4</v>
      </c>
      <c r="E139" s="99">
        <v>30063.7</v>
      </c>
      <c r="F139" s="99"/>
      <c r="G139" s="99"/>
      <c r="H139" s="99"/>
      <c r="I139" s="99">
        <v>0</v>
      </c>
      <c r="J139" s="99"/>
      <c r="K139" s="99"/>
      <c r="L139" s="99"/>
      <c r="M139" s="99">
        <v>0</v>
      </c>
      <c r="N139" s="100">
        <v>16886</v>
      </c>
      <c r="O139" s="133">
        <v>7609.44392956001</v>
      </c>
      <c r="P139" s="99">
        <v>13.25670586</v>
      </c>
      <c r="Q139" s="99">
        <v>5686.80606153</v>
      </c>
      <c r="R139" s="99">
        <v>1893.2666642400002</v>
      </c>
      <c r="S139" s="99">
        <v>4877.153764</v>
      </c>
      <c r="T139" s="99">
        <v>264.26814555</v>
      </c>
      <c r="U139" s="99">
        <v>543778.30967544</v>
      </c>
      <c r="V139" s="99">
        <v>0</v>
      </c>
      <c r="W139" s="99">
        <v>1872594.40804923</v>
      </c>
      <c r="X139" s="44" t="s">
        <v>25</v>
      </c>
    </row>
    <row r="140" spans="1:24" ht="12.75" hidden="1">
      <c r="A140" s="44" t="s">
        <v>26</v>
      </c>
      <c r="B140" s="99">
        <v>1100817.242087</v>
      </c>
      <c r="C140" s="99">
        <f t="shared" si="14"/>
        <v>56603.3</v>
      </c>
      <c r="D140" s="100">
        <v>28338.75</v>
      </c>
      <c r="E140" s="99">
        <v>28264.55</v>
      </c>
      <c r="F140" s="99"/>
      <c r="G140" s="99"/>
      <c r="H140" s="99"/>
      <c r="I140" s="99">
        <v>0</v>
      </c>
      <c r="J140" s="99"/>
      <c r="K140" s="99"/>
      <c r="L140" s="99"/>
      <c r="M140" s="99">
        <v>0</v>
      </c>
      <c r="N140" s="100">
        <v>14613</v>
      </c>
      <c r="O140" s="133">
        <v>18204.22787183003</v>
      </c>
      <c r="P140" s="99">
        <v>13.25670586</v>
      </c>
      <c r="Q140" s="99">
        <v>6096.518399629999</v>
      </c>
      <c r="R140" s="99">
        <v>3419.2595581699998</v>
      </c>
      <c r="S140" s="99">
        <v>4877.153764</v>
      </c>
      <c r="T140" s="99">
        <v>264.4120302</v>
      </c>
      <c r="U140" s="99">
        <v>543824.99378269</v>
      </c>
      <c r="V140" s="99">
        <v>0</v>
      </c>
      <c r="W140" s="99">
        <v>1833038.63632755</v>
      </c>
      <c r="X140" s="44" t="s">
        <v>26</v>
      </c>
    </row>
    <row r="141" spans="1:24" ht="12.75" hidden="1">
      <c r="A141" s="44" t="s">
        <v>114</v>
      </c>
      <c r="B141" s="99">
        <v>1117493.85143475</v>
      </c>
      <c r="C141" s="99">
        <f t="shared" si="14"/>
        <v>54999.55</v>
      </c>
      <c r="D141" s="100">
        <v>27640.05</v>
      </c>
      <c r="E141" s="99">
        <v>27359.5</v>
      </c>
      <c r="F141" s="99"/>
      <c r="G141" s="99"/>
      <c r="H141" s="99"/>
      <c r="I141" s="99">
        <v>0</v>
      </c>
      <c r="J141" s="99"/>
      <c r="K141" s="99"/>
      <c r="L141" s="99"/>
      <c r="M141" s="99">
        <v>0</v>
      </c>
      <c r="N141" s="100">
        <v>24500</v>
      </c>
      <c r="O141" s="133">
        <v>2788.0255046000384</v>
      </c>
      <c r="P141" s="99">
        <v>13.25670586</v>
      </c>
      <c r="Q141" s="99">
        <v>6192.5247299600005</v>
      </c>
      <c r="R141" s="99">
        <v>3637.1915569999996</v>
      </c>
      <c r="S141" s="99">
        <v>4917.9120656000005</v>
      </c>
      <c r="T141" s="99">
        <v>265.11516055</v>
      </c>
      <c r="U141" s="99">
        <v>540192.3661993</v>
      </c>
      <c r="V141" s="99">
        <v>0</v>
      </c>
      <c r="W141" s="99">
        <v>1854721.2678530198</v>
      </c>
      <c r="X141" s="44" t="s">
        <v>27</v>
      </c>
    </row>
    <row r="142" spans="1:24" ht="12.75" hidden="1">
      <c r="A142" s="44" t="s">
        <v>28</v>
      </c>
      <c r="B142" s="99">
        <v>1098855.06492926</v>
      </c>
      <c r="C142" s="99">
        <f t="shared" si="14"/>
        <v>48037.7</v>
      </c>
      <c r="D142" s="100">
        <v>22115.5</v>
      </c>
      <c r="E142" s="99">
        <v>25922.2</v>
      </c>
      <c r="F142" s="99"/>
      <c r="G142" s="99"/>
      <c r="H142" s="99"/>
      <c r="I142" s="99">
        <v>0</v>
      </c>
      <c r="J142" s="99"/>
      <c r="K142" s="99"/>
      <c r="L142" s="99"/>
      <c r="M142" s="99">
        <v>0</v>
      </c>
      <c r="N142" s="100">
        <v>18208</v>
      </c>
      <c r="O142" s="133">
        <v>10960.369442589872</v>
      </c>
      <c r="P142" s="99">
        <v>13.25670586</v>
      </c>
      <c r="Q142" s="99">
        <v>6543.32267134</v>
      </c>
      <c r="R142" s="99">
        <v>1120.8726928600001</v>
      </c>
      <c r="S142" s="99">
        <v>4917.9120656000005</v>
      </c>
      <c r="T142" s="99">
        <v>267.61014019</v>
      </c>
      <c r="U142" s="99">
        <v>540059.80055741</v>
      </c>
      <c r="V142" s="99">
        <v>0</v>
      </c>
      <c r="W142" s="99">
        <v>1820533.5490151797</v>
      </c>
      <c r="X142" s="44" t="s">
        <v>28</v>
      </c>
    </row>
    <row r="143" spans="1:24" ht="12.75" hidden="1">
      <c r="A143" s="44" t="s">
        <v>29</v>
      </c>
      <c r="B143" s="99">
        <v>1102320.2554049601</v>
      </c>
      <c r="C143" s="99">
        <f t="shared" si="14"/>
        <v>37832.85</v>
      </c>
      <c r="D143" s="100">
        <v>11669.8</v>
      </c>
      <c r="E143" s="99">
        <v>26163.05</v>
      </c>
      <c r="F143" s="99"/>
      <c r="G143" s="99"/>
      <c r="H143" s="99"/>
      <c r="I143" s="99">
        <v>0</v>
      </c>
      <c r="J143" s="99"/>
      <c r="K143" s="99"/>
      <c r="L143" s="99"/>
      <c r="M143" s="99">
        <v>0</v>
      </c>
      <c r="N143" s="100">
        <v>14439</v>
      </c>
      <c r="O143" s="133">
        <v>10215.498682089921</v>
      </c>
      <c r="P143" s="99">
        <v>13.25670586</v>
      </c>
      <c r="Q143" s="99">
        <v>5899.5345383700005</v>
      </c>
      <c r="R143" s="99">
        <v>4761.97499016</v>
      </c>
      <c r="S143" s="99">
        <v>4908.783454</v>
      </c>
      <c r="T143" s="99">
        <v>264.9155995</v>
      </c>
      <c r="U143" s="99">
        <v>544713.68525149</v>
      </c>
      <c r="V143" s="99">
        <v>0</v>
      </c>
      <c r="W143" s="99">
        <v>1817654.2559443403</v>
      </c>
      <c r="X143" s="44" t="s">
        <v>29</v>
      </c>
    </row>
    <row r="144" spans="1:24" ht="12.75" hidden="1">
      <c r="A144" s="44" t="s">
        <v>86</v>
      </c>
      <c r="B144" s="99">
        <v>1085602.12059998</v>
      </c>
      <c r="C144" s="99">
        <f t="shared" si="14"/>
        <v>54624.29</v>
      </c>
      <c r="D144" s="100">
        <v>17564.4</v>
      </c>
      <c r="E144" s="99">
        <v>25659.15</v>
      </c>
      <c r="F144" s="99"/>
      <c r="G144" s="99"/>
      <c r="H144" s="99"/>
      <c r="I144" s="99">
        <v>11400.74</v>
      </c>
      <c r="J144" s="99"/>
      <c r="K144" s="99"/>
      <c r="L144" s="99"/>
      <c r="M144" s="99">
        <v>0</v>
      </c>
      <c r="N144" s="100">
        <v>4459</v>
      </c>
      <c r="O144" s="133">
        <v>34618.724814209825</v>
      </c>
      <c r="P144" s="99">
        <v>13.25670586</v>
      </c>
      <c r="Q144" s="99">
        <v>5440.302447240001</v>
      </c>
      <c r="R144" s="99">
        <v>5159.7244415800005</v>
      </c>
      <c r="S144" s="99">
        <v>4908.783454</v>
      </c>
      <c r="T144" s="99">
        <v>264.7764085</v>
      </c>
      <c r="U144" s="99">
        <v>542929.51735559</v>
      </c>
      <c r="V144" s="99">
        <v>0</v>
      </c>
      <c r="W144" s="99">
        <v>1805924.6894591</v>
      </c>
      <c r="X144" s="44" t="s">
        <v>30</v>
      </c>
    </row>
    <row r="145" spans="1:24" ht="12.75" hidden="1">
      <c r="A145" s="44" t="s">
        <v>31</v>
      </c>
      <c r="B145" s="99">
        <v>1129141.37051389</v>
      </c>
      <c r="C145" s="99">
        <f t="shared" si="14"/>
        <v>29825</v>
      </c>
      <c r="D145" s="100">
        <v>6258</v>
      </c>
      <c r="E145" s="99">
        <v>23567</v>
      </c>
      <c r="F145" s="99"/>
      <c r="G145" s="99"/>
      <c r="H145" s="99"/>
      <c r="I145" s="99">
        <v>0</v>
      </c>
      <c r="J145" s="99"/>
      <c r="K145" s="99"/>
      <c r="L145" s="99"/>
      <c r="M145" s="99">
        <v>0</v>
      </c>
      <c r="N145" s="100">
        <v>0</v>
      </c>
      <c r="O145" s="133">
        <v>9156.307294809842</v>
      </c>
      <c r="P145" s="99">
        <v>13.25670586</v>
      </c>
      <c r="Q145" s="99">
        <v>5169.984679590001</v>
      </c>
      <c r="R145" s="99">
        <v>3438.4215638499995</v>
      </c>
      <c r="S145" s="99">
        <v>4908.783454</v>
      </c>
      <c r="T145" s="99">
        <v>264.75650095</v>
      </c>
      <c r="U145" s="99">
        <v>544452.99165212</v>
      </c>
      <c r="V145" s="99">
        <v>0</v>
      </c>
      <c r="W145" s="99">
        <v>1819736.6314596399</v>
      </c>
      <c r="X145" s="44" t="s">
        <v>31</v>
      </c>
    </row>
    <row r="146" spans="1:24" ht="12.75" hidden="1">
      <c r="A146" s="44" t="s">
        <v>32</v>
      </c>
      <c r="B146" s="99">
        <v>1137660.12242796</v>
      </c>
      <c r="C146" s="99">
        <f t="shared" si="14"/>
        <v>23967.2</v>
      </c>
      <c r="D146" s="100">
        <v>2009.2</v>
      </c>
      <c r="E146" s="99">
        <v>21958</v>
      </c>
      <c r="F146" s="99"/>
      <c r="G146" s="99"/>
      <c r="H146" s="99"/>
      <c r="I146" s="99">
        <v>0</v>
      </c>
      <c r="J146" s="99"/>
      <c r="K146" s="99"/>
      <c r="L146" s="99"/>
      <c r="M146" s="99">
        <v>0</v>
      </c>
      <c r="N146" s="100">
        <v>0</v>
      </c>
      <c r="O146" s="133">
        <v>-29082.8</v>
      </c>
      <c r="P146" s="99">
        <v>13.25670586</v>
      </c>
      <c r="Q146" s="99">
        <v>4747.024914490001</v>
      </c>
      <c r="R146" s="99">
        <v>6207.23107252</v>
      </c>
      <c r="S146" s="99">
        <v>4908.783454</v>
      </c>
      <c r="T146" s="99">
        <v>263.90452255</v>
      </c>
      <c r="U146" s="99">
        <v>541819.41745408</v>
      </c>
      <c r="V146" s="99">
        <v>0</v>
      </c>
      <c r="W146" s="99">
        <v>1822109.7814564598</v>
      </c>
      <c r="X146" s="44" t="s">
        <v>32</v>
      </c>
    </row>
    <row r="147" spans="1:24" ht="12.75" hidden="1">
      <c r="A147" s="44" t="s">
        <v>87</v>
      </c>
      <c r="B147" s="99">
        <v>1115141.53599438</v>
      </c>
      <c r="C147" s="99">
        <v>25546.05</v>
      </c>
      <c r="D147" s="99">
        <v>103.25</v>
      </c>
      <c r="E147" s="99">
        <v>25442.8</v>
      </c>
      <c r="F147" s="99"/>
      <c r="G147" s="99"/>
      <c r="H147" s="99"/>
      <c r="I147" s="99">
        <v>0</v>
      </c>
      <c r="J147" s="99"/>
      <c r="K147" s="99"/>
      <c r="L147" s="99"/>
      <c r="M147" s="99">
        <v>0</v>
      </c>
      <c r="N147" s="100">
        <v>0</v>
      </c>
      <c r="O147" s="133">
        <v>-8190.363256389694</v>
      </c>
      <c r="P147" s="99">
        <v>13.25670586</v>
      </c>
      <c r="Q147" s="99">
        <v>5726.4864144</v>
      </c>
      <c r="R147" s="99">
        <v>5648.084882590001</v>
      </c>
      <c r="S147" s="99">
        <v>4908.783454</v>
      </c>
      <c r="T147" s="99">
        <v>263.98609495</v>
      </c>
      <c r="U147" s="99">
        <v>524706.11699336</v>
      </c>
      <c r="V147" s="99">
        <v>0</v>
      </c>
      <c r="W147" s="99">
        <v>1799477.0414445398</v>
      </c>
      <c r="X147" s="44" t="s">
        <v>33</v>
      </c>
    </row>
    <row r="148" spans="1:24" ht="12.75" hidden="1">
      <c r="A148" s="44" t="s">
        <v>35</v>
      </c>
      <c r="B148" s="99">
        <v>1062576.4645951802</v>
      </c>
      <c r="C148" s="99">
        <v>25008.35</v>
      </c>
      <c r="D148" s="99">
        <v>29</v>
      </c>
      <c r="E148" s="99">
        <v>24979.35</v>
      </c>
      <c r="F148" s="99"/>
      <c r="G148" s="99"/>
      <c r="H148" s="99"/>
      <c r="I148" s="99">
        <v>0</v>
      </c>
      <c r="J148" s="99"/>
      <c r="K148" s="99"/>
      <c r="L148" s="99"/>
      <c r="M148" s="99">
        <v>0</v>
      </c>
      <c r="N148" s="100">
        <v>0</v>
      </c>
      <c r="O148" s="133">
        <v>5471.619011330051</v>
      </c>
      <c r="P148" s="99">
        <v>13.25670586</v>
      </c>
      <c r="Q148" s="99">
        <v>5304.093557</v>
      </c>
      <c r="R148" s="99">
        <v>7076.10194727</v>
      </c>
      <c r="S148" s="99">
        <v>4908.783454</v>
      </c>
      <c r="T148" s="99">
        <v>262.71104065</v>
      </c>
      <c r="U148" s="99">
        <v>501601.94095943996</v>
      </c>
      <c r="V148" s="99">
        <v>0</v>
      </c>
      <c r="W148" s="99">
        <v>1744280.5931644002</v>
      </c>
      <c r="X148" s="44" t="s">
        <v>35</v>
      </c>
    </row>
    <row r="149" spans="1:24" ht="12.75" hidden="1">
      <c r="A149" s="44" t="s">
        <v>36</v>
      </c>
      <c r="B149" s="99">
        <v>1060700.29990058</v>
      </c>
      <c r="C149" s="99">
        <v>49556.55</v>
      </c>
      <c r="D149" s="99">
        <v>8898</v>
      </c>
      <c r="E149" s="99">
        <v>24564.5</v>
      </c>
      <c r="F149" s="99"/>
      <c r="G149" s="99"/>
      <c r="H149" s="99"/>
      <c r="I149" s="99">
        <v>16094.05</v>
      </c>
      <c r="J149" s="99"/>
      <c r="K149" s="99"/>
      <c r="L149" s="99"/>
      <c r="M149" s="99">
        <v>0</v>
      </c>
      <c r="N149" s="100">
        <v>0</v>
      </c>
      <c r="O149" s="133">
        <v>23752.825705449668</v>
      </c>
      <c r="P149" s="99">
        <v>13.25670586</v>
      </c>
      <c r="Q149" s="99">
        <v>4693.8051084300005</v>
      </c>
      <c r="R149" s="99">
        <v>5583.72902233</v>
      </c>
      <c r="S149" s="99">
        <v>4908.783454</v>
      </c>
      <c r="T149" s="99">
        <v>263.0997504</v>
      </c>
      <c r="U149" s="99">
        <v>492750.15138388996</v>
      </c>
      <c r="V149" s="99">
        <v>0</v>
      </c>
      <c r="W149" s="99">
        <v>1763492.66623049</v>
      </c>
      <c r="X149" s="44" t="s">
        <v>36</v>
      </c>
    </row>
    <row r="150" spans="1:24" ht="12.75" hidden="1">
      <c r="A150" s="85" t="s">
        <v>88</v>
      </c>
      <c r="B150" s="99">
        <v>1145946.48682017</v>
      </c>
      <c r="C150" s="99">
        <v>53915.840905000005</v>
      </c>
      <c r="D150" s="99">
        <v>29427</v>
      </c>
      <c r="E150" s="99">
        <v>24466.25</v>
      </c>
      <c r="F150" s="99"/>
      <c r="G150" s="99"/>
      <c r="H150" s="99"/>
      <c r="I150" s="99">
        <v>0</v>
      </c>
      <c r="J150" s="99"/>
      <c r="K150" s="99"/>
      <c r="L150" s="99"/>
      <c r="M150" s="99">
        <v>0</v>
      </c>
      <c r="N150" s="100">
        <v>12300</v>
      </c>
      <c r="O150" s="133">
        <v>39430.28721113</v>
      </c>
      <c r="P150" s="99">
        <v>13.25670586</v>
      </c>
      <c r="Q150" s="99">
        <v>7012.5443681100005</v>
      </c>
      <c r="R150" s="99">
        <v>1505.5155354</v>
      </c>
      <c r="S150" s="99">
        <v>4908.783454</v>
      </c>
      <c r="T150" s="99">
        <v>267.09391684</v>
      </c>
      <c r="U150" s="99">
        <v>484023.98514258</v>
      </c>
      <c r="V150" s="99">
        <v>0</v>
      </c>
      <c r="W150" s="99">
        <v>1859893.5068479597</v>
      </c>
      <c r="X150" s="44" t="s">
        <v>37</v>
      </c>
    </row>
    <row r="151" spans="1:23" ht="12.75">
      <c r="A151" s="44"/>
      <c r="B151" s="99"/>
      <c r="C151" s="107"/>
      <c r="D151" s="106"/>
      <c r="N151" s="100"/>
      <c r="O151" s="99"/>
      <c r="R151" s="99"/>
      <c r="U151" s="99"/>
      <c r="V151" s="99"/>
      <c r="W151" s="99"/>
    </row>
    <row r="152" spans="1:24" ht="12.75" hidden="1">
      <c r="A152" s="67">
        <v>2009</v>
      </c>
      <c r="B152" s="99"/>
      <c r="C152" s="107"/>
      <c r="D152" s="106"/>
      <c r="N152" s="100"/>
      <c r="O152" s="99"/>
      <c r="R152" s="99"/>
      <c r="U152" s="99"/>
      <c r="V152" s="99"/>
      <c r="W152" s="99"/>
      <c r="X152" s="67">
        <v>2009</v>
      </c>
    </row>
    <row r="153" spans="1:26" ht="12.75" hidden="1">
      <c r="A153" s="44" t="s">
        <v>25</v>
      </c>
      <c r="B153" s="99">
        <v>1143633.99334405</v>
      </c>
      <c r="C153" s="99">
        <f>'[1]MS'!$CR$15-N153</f>
        <v>48629.740905</v>
      </c>
      <c r="D153" s="99">
        <v>28141</v>
      </c>
      <c r="E153" s="99">
        <v>20466</v>
      </c>
      <c r="F153" s="99"/>
      <c r="G153" s="99"/>
      <c r="H153" s="99"/>
      <c r="I153" s="99">
        <v>0</v>
      </c>
      <c r="J153" s="99"/>
      <c r="K153" s="99"/>
      <c r="L153" s="99"/>
      <c r="M153" s="99">
        <v>0</v>
      </c>
      <c r="N153" s="100">
        <v>10300</v>
      </c>
      <c r="O153" s="133">
        <v>-10086.570412200024</v>
      </c>
      <c r="P153" s="99">
        <v>13.25670586</v>
      </c>
      <c r="Q153" s="99">
        <v>8220.46076652</v>
      </c>
      <c r="R153" s="99">
        <v>8588.51932714</v>
      </c>
      <c r="S153" s="99">
        <v>4908.783454</v>
      </c>
      <c r="T153" s="99">
        <v>264.4972644</v>
      </c>
      <c r="U153" s="99">
        <v>492716.58151886996</v>
      </c>
      <c r="V153" s="99">
        <v>0</v>
      </c>
      <c r="W153" s="99">
        <v>1869775.8332858393</v>
      </c>
      <c r="X153" s="44" t="s">
        <v>25</v>
      </c>
      <c r="Z153" s="106">
        <f>W153-1717276</f>
        <v>152499.8332858393</v>
      </c>
    </row>
    <row r="154" spans="1:24" ht="12.75" hidden="1">
      <c r="A154" s="44" t="s">
        <v>26</v>
      </c>
      <c r="B154" s="99">
        <v>1082245.0150730698</v>
      </c>
      <c r="C154" s="99">
        <f>'[1]MS'!$CS$15-N154</f>
        <v>53824.3</v>
      </c>
      <c r="D154" s="99">
        <v>32479.55</v>
      </c>
      <c r="E154" s="99">
        <v>21344.75</v>
      </c>
      <c r="F154" s="99"/>
      <c r="G154" s="99"/>
      <c r="H154" s="99"/>
      <c r="I154" s="99">
        <v>0</v>
      </c>
      <c r="J154" s="99"/>
      <c r="K154" s="99"/>
      <c r="L154" s="99"/>
      <c r="M154" s="99">
        <v>0</v>
      </c>
      <c r="N154" s="100">
        <v>15905.05</v>
      </c>
      <c r="O154" s="133">
        <v>26557.34233497002</v>
      </c>
      <c r="P154" s="99">
        <v>13.25670586</v>
      </c>
      <c r="Q154" s="99">
        <v>8405.71642538</v>
      </c>
      <c r="R154" s="99">
        <v>6287.871014519999</v>
      </c>
      <c r="S154" s="99">
        <v>4930.711861599999</v>
      </c>
      <c r="T154" s="99">
        <v>259.0275077</v>
      </c>
      <c r="U154" s="99">
        <v>485051.25124204997</v>
      </c>
      <c r="V154" s="99">
        <v>0</v>
      </c>
      <c r="W154" s="99">
        <v>1814422.1998301798</v>
      </c>
      <c r="X154" s="44" t="s">
        <v>26</v>
      </c>
    </row>
    <row r="155" spans="1:24" ht="12.75" hidden="1">
      <c r="A155" s="44" t="s">
        <v>114</v>
      </c>
      <c r="B155" s="99">
        <v>1121549.12668091</v>
      </c>
      <c r="C155" s="99">
        <f>'[1]MS'!$CT$15-N155</f>
        <v>61607.25</v>
      </c>
      <c r="D155" s="99">
        <v>40198</v>
      </c>
      <c r="E155" s="99">
        <v>21409</v>
      </c>
      <c r="F155" s="99"/>
      <c r="G155" s="99"/>
      <c r="H155" s="99"/>
      <c r="I155" s="99">
        <v>0</v>
      </c>
      <c r="J155" s="99"/>
      <c r="K155" s="99"/>
      <c r="L155" s="99"/>
      <c r="M155" s="99">
        <v>0</v>
      </c>
      <c r="N155" s="100">
        <v>14905</v>
      </c>
      <c r="O155" s="133">
        <v>-424.52231860996835</v>
      </c>
      <c r="P155" s="99">
        <v>13.25670586</v>
      </c>
      <c r="Q155" s="99">
        <v>8186.312012620001</v>
      </c>
      <c r="R155" s="99">
        <v>4007.50441351</v>
      </c>
      <c r="S155" s="99">
        <v>4908.783454</v>
      </c>
      <c r="T155" s="99">
        <v>259.88935895</v>
      </c>
      <c r="U155" s="99">
        <v>502827.31541941996</v>
      </c>
      <c r="V155" s="99">
        <v>0</v>
      </c>
      <c r="W155" s="99">
        <v>1878264.4380452698</v>
      </c>
      <c r="X155" s="44" t="s">
        <v>27</v>
      </c>
    </row>
    <row r="156" spans="1:24" ht="12.75" hidden="1">
      <c r="A156" s="44" t="s">
        <v>28</v>
      </c>
      <c r="B156" s="99">
        <v>1120388.7438319298</v>
      </c>
      <c r="C156" s="99">
        <f>'[1]MS'!$CU$15-N156</f>
        <v>68226.9</v>
      </c>
      <c r="D156" s="99">
        <v>46407</v>
      </c>
      <c r="E156" s="99">
        <v>21820</v>
      </c>
      <c r="F156" s="99"/>
      <c r="G156" s="99"/>
      <c r="H156" s="99"/>
      <c r="I156" s="99">
        <v>0</v>
      </c>
      <c r="J156" s="99"/>
      <c r="K156" s="99"/>
      <c r="L156" s="99"/>
      <c r="M156" s="99">
        <v>0</v>
      </c>
      <c r="N156" s="100">
        <v>5921</v>
      </c>
      <c r="O156" s="133">
        <v>22205.800915259875</v>
      </c>
      <c r="P156" s="99">
        <v>13.25670586</v>
      </c>
      <c r="Q156" s="99">
        <v>9917.51650697</v>
      </c>
      <c r="R156" s="99">
        <v>1978.27249703</v>
      </c>
      <c r="S156" s="99">
        <v>4908.783454</v>
      </c>
      <c r="T156" s="99">
        <v>260.1022996</v>
      </c>
      <c r="U156" s="99">
        <v>498187.88408472</v>
      </c>
      <c r="V156" s="99">
        <v>0</v>
      </c>
      <c r="W156" s="99">
        <v>1874802.4593801093</v>
      </c>
      <c r="X156" s="44" t="s">
        <v>28</v>
      </c>
    </row>
    <row r="157" spans="1:24" ht="12.75" hidden="1">
      <c r="A157" s="44" t="s">
        <v>29</v>
      </c>
      <c r="B157" s="99">
        <v>1160189.55453454</v>
      </c>
      <c r="C157" s="99">
        <f>'[1]MS'!$CV$15-N157</f>
        <v>65943.4030671</v>
      </c>
      <c r="D157" s="99">
        <v>43821</v>
      </c>
      <c r="E157" s="99">
        <v>22069</v>
      </c>
      <c r="F157" s="99"/>
      <c r="G157" s="99"/>
      <c r="H157" s="99"/>
      <c r="I157" s="99">
        <v>0</v>
      </c>
      <c r="J157" s="99"/>
      <c r="K157" s="99"/>
      <c r="L157" s="99"/>
      <c r="M157" s="99">
        <v>0</v>
      </c>
      <c r="N157" s="100">
        <v>17022</v>
      </c>
      <c r="O157" s="133">
        <v>37783.51721270989</v>
      </c>
      <c r="P157" s="99">
        <v>13.25670586</v>
      </c>
      <c r="Q157" s="99">
        <v>10641.96611984</v>
      </c>
      <c r="R157" s="99">
        <v>1187.5067414100001</v>
      </c>
      <c r="S157" s="99">
        <v>4908.783454</v>
      </c>
      <c r="T157" s="99">
        <v>261.14412805</v>
      </c>
      <c r="U157" s="99">
        <v>497761.56081828</v>
      </c>
      <c r="V157" s="99">
        <v>0</v>
      </c>
      <c r="W157" s="99">
        <v>1922929.1755690798</v>
      </c>
      <c r="X157" s="44" t="s">
        <v>29</v>
      </c>
    </row>
    <row r="158" spans="1:24" ht="12.75" hidden="1">
      <c r="A158" s="44" t="s">
        <v>86</v>
      </c>
      <c r="B158" s="99">
        <v>1211504.39311881</v>
      </c>
      <c r="C158" s="99">
        <f>'[1]MS'!$CW$15-N158</f>
        <v>94264.23000000001</v>
      </c>
      <c r="D158" s="99">
        <v>49154</v>
      </c>
      <c r="E158" s="99">
        <v>23870</v>
      </c>
      <c r="F158" s="99"/>
      <c r="G158" s="99"/>
      <c r="H158" s="99"/>
      <c r="I158" s="99">
        <v>21240.53</v>
      </c>
      <c r="J158" s="99"/>
      <c r="K158" s="99"/>
      <c r="L158" s="99"/>
      <c r="M158" s="99">
        <v>0</v>
      </c>
      <c r="N158" s="100">
        <v>8572</v>
      </c>
      <c r="O158" s="133">
        <v>73074.17334515</v>
      </c>
      <c r="P158" s="99">
        <v>13.25670586</v>
      </c>
      <c r="Q158" s="99">
        <v>9943.8333774</v>
      </c>
      <c r="R158" s="99">
        <v>0.79262098</v>
      </c>
      <c r="S158" s="99">
        <v>4908.783454</v>
      </c>
      <c r="T158" s="99">
        <v>262.62518596</v>
      </c>
      <c r="U158" s="99">
        <v>432482.23436972</v>
      </c>
      <c r="V158" s="99">
        <v>0</v>
      </c>
      <c r="W158" s="99">
        <v>1996952.1488327296</v>
      </c>
      <c r="X158" s="44" t="s">
        <v>30</v>
      </c>
    </row>
    <row r="159" spans="1:24" ht="12.75" hidden="1">
      <c r="A159" s="44" t="s">
        <v>31</v>
      </c>
      <c r="B159" s="99">
        <v>1257736</v>
      </c>
      <c r="C159" s="99">
        <f>'[3]BSL '!$CX$1318-N159</f>
        <v>90433.62238378999</v>
      </c>
      <c r="D159" s="99">
        <v>46621</v>
      </c>
      <c r="E159" s="99">
        <v>25319</v>
      </c>
      <c r="F159" s="99"/>
      <c r="G159" s="99"/>
      <c r="H159" s="99"/>
      <c r="I159" s="99">
        <v>18476</v>
      </c>
      <c r="J159" s="99"/>
      <c r="K159" s="99"/>
      <c r="L159" s="99"/>
      <c r="M159" s="99">
        <v>0</v>
      </c>
      <c r="N159" s="100">
        <v>8572</v>
      </c>
      <c r="O159" s="133">
        <v>63146</v>
      </c>
      <c r="P159" s="99">
        <v>13</v>
      </c>
      <c r="Q159" s="99">
        <v>10552</v>
      </c>
      <c r="R159" s="99">
        <v>8011</v>
      </c>
      <c r="S159" s="99">
        <v>4909</v>
      </c>
      <c r="T159" s="99">
        <v>263</v>
      </c>
      <c r="U159" s="99">
        <v>364622</v>
      </c>
      <c r="V159" s="99">
        <v>0</v>
      </c>
      <c r="W159" s="99">
        <v>2047611</v>
      </c>
      <c r="X159" s="44" t="s">
        <v>31</v>
      </c>
    </row>
    <row r="160" spans="1:24" ht="12.75" hidden="1">
      <c r="A160" s="44" t="s">
        <v>32</v>
      </c>
      <c r="B160" s="99">
        <v>1396483</v>
      </c>
      <c r="C160" s="99">
        <f>'[3]BSL '!$CY$1318-N160</f>
        <v>58246.00871579</v>
      </c>
      <c r="D160" s="99">
        <v>34877</v>
      </c>
      <c r="E160" s="99">
        <v>23355</v>
      </c>
      <c r="F160" s="99"/>
      <c r="G160" s="99"/>
      <c r="H160" s="99"/>
      <c r="I160" s="99">
        <v>0</v>
      </c>
      <c r="J160" s="99"/>
      <c r="K160" s="99"/>
      <c r="L160" s="99"/>
      <c r="M160" s="99">
        <v>0</v>
      </c>
      <c r="N160" s="100">
        <v>0</v>
      </c>
      <c r="O160" s="133">
        <f>58246-39152-N160</f>
        <v>19094</v>
      </c>
      <c r="P160" s="99">
        <v>13</v>
      </c>
      <c r="Q160" s="99">
        <v>9788</v>
      </c>
      <c r="R160" s="99">
        <v>12091</v>
      </c>
      <c r="S160" s="99">
        <v>5011</v>
      </c>
      <c r="T160" s="99">
        <v>263</v>
      </c>
      <c r="U160" s="99">
        <v>361066</v>
      </c>
      <c r="V160" s="99">
        <v>0</v>
      </c>
      <c r="W160" s="99">
        <v>2150461</v>
      </c>
      <c r="X160" s="44" t="s">
        <v>32</v>
      </c>
    </row>
    <row r="161" spans="1:24" ht="12.75" hidden="1">
      <c r="A161" s="44" t="s">
        <v>87</v>
      </c>
      <c r="B161" s="99">
        <v>1769076.06202407</v>
      </c>
      <c r="C161" s="99">
        <f>'[3]BSL '!$CZ$1318-N161</f>
        <v>109770.84871578998</v>
      </c>
      <c r="D161" s="99">
        <v>40771</v>
      </c>
      <c r="E161" s="99">
        <v>23926</v>
      </c>
      <c r="F161" s="99"/>
      <c r="G161" s="99"/>
      <c r="H161" s="99"/>
      <c r="I161" s="99">
        <v>45061</v>
      </c>
      <c r="J161" s="99"/>
      <c r="K161" s="99"/>
      <c r="L161" s="99"/>
      <c r="M161" s="99">
        <v>0</v>
      </c>
      <c r="N161" s="100">
        <v>0</v>
      </c>
      <c r="O161" s="133">
        <f>109771-18691-N161</f>
        <v>91080</v>
      </c>
      <c r="P161" s="99">
        <v>13</v>
      </c>
      <c r="Q161" s="99">
        <v>9282</v>
      </c>
      <c r="R161" s="99">
        <v>8932</v>
      </c>
      <c r="S161" s="99">
        <v>5010</v>
      </c>
      <c r="T161" s="99">
        <v>277</v>
      </c>
      <c r="U161" s="99">
        <v>367335</v>
      </c>
      <c r="V161" s="99">
        <v>0</v>
      </c>
      <c r="W161" s="99">
        <v>2577196.4503643597</v>
      </c>
      <c r="X161" s="44" t="s">
        <v>33</v>
      </c>
    </row>
    <row r="162" spans="1:24" ht="12.75" hidden="1">
      <c r="A162" s="44" t="s">
        <v>35</v>
      </c>
      <c r="B162" s="99">
        <v>1878232.2382765198</v>
      </c>
      <c r="C162" s="99">
        <f>'[3]BSL '!$DA$1318-N162</f>
        <v>147986.61461559</v>
      </c>
      <c r="D162" s="99">
        <v>53765.7</v>
      </c>
      <c r="E162" s="99">
        <v>24872.6</v>
      </c>
      <c r="F162" s="99"/>
      <c r="G162" s="99"/>
      <c r="H162" s="99"/>
      <c r="I162" s="99">
        <v>69274.18</v>
      </c>
      <c r="J162" s="99"/>
      <c r="K162" s="99"/>
      <c r="L162" s="99"/>
      <c r="M162" s="99">
        <v>0</v>
      </c>
      <c r="N162" s="100">
        <v>500</v>
      </c>
      <c r="O162" s="133">
        <v>122628.02266610006</v>
      </c>
      <c r="P162" s="99">
        <v>13</v>
      </c>
      <c r="Q162" s="99">
        <v>8615.83336823</v>
      </c>
      <c r="R162" s="99">
        <v>34804.3788195</v>
      </c>
      <c r="S162" s="99">
        <v>5009.983453999999</v>
      </c>
      <c r="T162" s="99">
        <v>267.319433</v>
      </c>
      <c r="U162" s="99">
        <v>367676.97947889</v>
      </c>
      <c r="V162" s="99">
        <v>0</v>
      </c>
      <c r="W162" s="99">
        <v>2750606.60415159</v>
      </c>
      <c r="X162" s="44" t="s">
        <v>35</v>
      </c>
    </row>
    <row r="163" spans="1:24" ht="12.75" hidden="1">
      <c r="A163" s="44" t="s">
        <v>36</v>
      </c>
      <c r="B163" s="99">
        <v>1923896.8498773198</v>
      </c>
      <c r="C163" s="99">
        <f>'[3]BSL '!$DB$1318-N163</f>
        <v>218026.16871578997</v>
      </c>
      <c r="D163" s="99">
        <v>89186.8</v>
      </c>
      <c r="E163" s="99">
        <v>26291.9</v>
      </c>
      <c r="F163" s="99"/>
      <c r="G163" s="99"/>
      <c r="H163" s="99"/>
      <c r="I163" s="99">
        <v>102533.51</v>
      </c>
      <c r="J163" s="99"/>
      <c r="K163" s="99"/>
      <c r="L163" s="99"/>
      <c r="M163" s="99">
        <v>0</v>
      </c>
      <c r="N163" s="100">
        <v>500</v>
      </c>
      <c r="O163" s="133">
        <v>188767</v>
      </c>
      <c r="P163" s="99">
        <v>13</v>
      </c>
      <c r="Q163" s="99">
        <v>8117.0339208</v>
      </c>
      <c r="R163" s="99">
        <v>10731.407368920001</v>
      </c>
      <c r="S163" s="99">
        <v>5009.983453999999</v>
      </c>
      <c r="T163" s="99">
        <v>268.6954817</v>
      </c>
      <c r="U163" s="99">
        <v>362959.92070254</v>
      </c>
      <c r="V163" s="99">
        <v>0</v>
      </c>
      <c r="W163" s="99">
        <v>2842023.3162269294</v>
      </c>
      <c r="X163" s="44" t="s">
        <v>36</v>
      </c>
    </row>
    <row r="164" spans="1:24" ht="12.75" hidden="1">
      <c r="A164" s="85" t="s">
        <v>88</v>
      </c>
      <c r="B164" s="99">
        <v>1930712.25106508</v>
      </c>
      <c r="C164" s="99">
        <f>'[3]BSL '!$DC$1318-N164</f>
        <v>166377.86551301</v>
      </c>
      <c r="D164" s="99">
        <v>141687.7</v>
      </c>
      <c r="E164" s="99">
        <v>24665.75</v>
      </c>
      <c r="F164" s="99"/>
      <c r="G164" s="99"/>
      <c r="H164" s="99"/>
      <c r="I164" s="99">
        <v>0</v>
      </c>
      <c r="J164" s="99"/>
      <c r="K164" s="99"/>
      <c r="L164" s="99"/>
      <c r="M164" s="99">
        <v>0</v>
      </c>
      <c r="N164" s="100">
        <v>22774.7</v>
      </c>
      <c r="O164" s="133">
        <v>144030</v>
      </c>
      <c r="P164" s="99">
        <v>13</v>
      </c>
      <c r="Q164" s="99">
        <v>6909.50256943</v>
      </c>
      <c r="R164" s="99">
        <v>5986.57462098</v>
      </c>
      <c r="S164" s="99">
        <v>5034.07121648</v>
      </c>
      <c r="T164" s="99">
        <v>267.8248366</v>
      </c>
      <c r="U164" s="99">
        <v>370761.26547291</v>
      </c>
      <c r="V164" s="99">
        <v>0</v>
      </c>
      <c r="W164" s="99">
        <v>2821337.31200035</v>
      </c>
      <c r="X164" s="44" t="s">
        <v>37</v>
      </c>
    </row>
    <row r="165" spans="1:24" ht="12.75">
      <c r="A165" s="44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100"/>
      <c r="P165" s="99"/>
      <c r="Q165" s="99"/>
      <c r="R165" s="99"/>
      <c r="S165" s="99"/>
      <c r="T165" s="99"/>
      <c r="U165" s="99"/>
      <c r="V165" s="99"/>
      <c r="W165" s="99"/>
      <c r="X165" s="44"/>
    </row>
    <row r="166" spans="1:24" ht="12.75">
      <c r="A166" s="67">
        <v>2010</v>
      </c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100"/>
      <c r="P166" s="99"/>
      <c r="Q166" s="99"/>
      <c r="R166" s="99"/>
      <c r="S166" s="99"/>
      <c r="T166" s="99"/>
      <c r="U166" s="99"/>
      <c r="V166" s="99"/>
      <c r="W166" s="99"/>
      <c r="X166" s="67">
        <v>2010</v>
      </c>
    </row>
    <row r="167" spans="1:26" ht="12.75">
      <c r="A167" s="44" t="s">
        <v>25</v>
      </c>
      <c r="B167" s="128">
        <v>1983382.2031423303</v>
      </c>
      <c r="C167" s="99">
        <f>'[3]BSL '!$DD$1318-N167</f>
        <v>164246.54151301</v>
      </c>
      <c r="D167" s="99">
        <v>141643.3</v>
      </c>
      <c r="E167" s="99">
        <v>22534</v>
      </c>
      <c r="F167" s="99"/>
      <c r="G167" s="99"/>
      <c r="H167" s="99"/>
      <c r="I167" s="99">
        <v>0</v>
      </c>
      <c r="J167" s="99"/>
      <c r="K167" s="99"/>
      <c r="L167" s="99"/>
      <c r="M167" s="99">
        <v>0</v>
      </c>
      <c r="N167" s="100">
        <v>22274.7</v>
      </c>
      <c r="O167" s="133">
        <v>132115</v>
      </c>
      <c r="P167" s="99">
        <v>13</v>
      </c>
      <c r="Q167" s="99">
        <v>10045</v>
      </c>
      <c r="R167" s="99">
        <v>17541</v>
      </c>
      <c r="S167" s="99">
        <v>5010</v>
      </c>
      <c r="T167" s="99">
        <v>268</v>
      </c>
      <c r="U167" s="99">
        <v>395321</v>
      </c>
      <c r="V167" s="99">
        <v>0</v>
      </c>
      <c r="W167" s="99">
        <v>2910601</v>
      </c>
      <c r="X167" s="44" t="s">
        <v>25</v>
      </c>
      <c r="Z167" s="106"/>
    </row>
    <row r="168" spans="1:26" ht="12.75">
      <c r="A168" s="44" t="s">
        <v>26</v>
      </c>
      <c r="B168" s="128">
        <v>1952213.8258268998</v>
      </c>
      <c r="C168" s="99">
        <f>'[3]BSL '!$DE$1318-N168</f>
        <v>163958.91551301</v>
      </c>
      <c r="D168" s="100">
        <v>141355.6</v>
      </c>
      <c r="E168" s="99">
        <v>22576</v>
      </c>
      <c r="F168" s="99"/>
      <c r="G168" s="99"/>
      <c r="H168" s="99"/>
      <c r="I168" s="99">
        <v>0</v>
      </c>
      <c r="J168" s="99"/>
      <c r="K168" s="99"/>
      <c r="L168" s="99"/>
      <c r="M168" s="99">
        <v>0</v>
      </c>
      <c r="N168" s="100">
        <v>22274.7</v>
      </c>
      <c r="O168" s="133">
        <v>117465</v>
      </c>
      <c r="P168" s="99">
        <v>13</v>
      </c>
      <c r="Q168" s="99">
        <v>9462</v>
      </c>
      <c r="R168" s="99">
        <v>17424</v>
      </c>
      <c r="S168" s="99">
        <v>5011</v>
      </c>
      <c r="T168" s="99">
        <v>267</v>
      </c>
      <c r="U168" s="99">
        <v>344666</v>
      </c>
      <c r="V168" s="99">
        <v>0</v>
      </c>
      <c r="W168" s="99">
        <v>2877790</v>
      </c>
      <c r="X168" s="44" t="s">
        <v>26</v>
      </c>
      <c r="Z168" s="106"/>
    </row>
    <row r="169" spans="1:26" s="83" customFormat="1" ht="12.75">
      <c r="A169" s="145" t="s">
        <v>27</v>
      </c>
      <c r="B169" s="128">
        <v>1883993.9718296104</v>
      </c>
      <c r="C169" s="99">
        <f>'[3]BSL '!$DF$1318-N169</f>
        <v>171396.57610279</v>
      </c>
      <c r="D169" s="100">
        <v>148890</v>
      </c>
      <c r="E169" s="99">
        <v>22484</v>
      </c>
      <c r="F169" s="99"/>
      <c r="G169" s="99"/>
      <c r="H169" s="99"/>
      <c r="I169" s="99">
        <v>0</v>
      </c>
      <c r="J169" s="99"/>
      <c r="K169" s="99"/>
      <c r="L169" s="99"/>
      <c r="M169" s="99">
        <v>0</v>
      </c>
      <c r="N169" s="100">
        <v>16805.65</v>
      </c>
      <c r="O169" s="133">
        <v>128108</v>
      </c>
      <c r="P169" s="99">
        <v>13</v>
      </c>
      <c r="Q169" s="99">
        <v>11662</v>
      </c>
      <c r="R169" s="99">
        <v>13980</v>
      </c>
      <c r="S169" s="99">
        <v>5060</v>
      </c>
      <c r="T169" s="99">
        <v>267</v>
      </c>
      <c r="U169" s="99">
        <v>344299</v>
      </c>
      <c r="V169" s="99">
        <v>0</v>
      </c>
      <c r="W169" s="99">
        <v>2809979</v>
      </c>
      <c r="X169" s="44" t="s">
        <v>27</v>
      </c>
      <c r="Z169" s="106"/>
    </row>
    <row r="170" spans="1:26" ht="12.75">
      <c r="A170" s="44" t="s">
        <v>28</v>
      </c>
      <c r="B170" s="128">
        <v>1845987</v>
      </c>
      <c r="C170" s="99">
        <f>'[4]BSL'!$DK$1348-'[4]Treasury Bills &amp; Bonds Holdings'!$AR$8</f>
        <v>238846.62833092</v>
      </c>
      <c r="D170" s="100">
        <v>149330.95</v>
      </c>
      <c r="E170" s="99">
        <v>22839.55</v>
      </c>
      <c r="F170" s="99"/>
      <c r="G170" s="99"/>
      <c r="H170" s="99"/>
      <c r="I170" s="99">
        <v>65448.56</v>
      </c>
      <c r="J170" s="99"/>
      <c r="K170" s="99"/>
      <c r="L170" s="99"/>
      <c r="M170" s="99">
        <v>0</v>
      </c>
      <c r="N170" s="100">
        <v>16805.65</v>
      </c>
      <c r="O170" s="133">
        <v>225160</v>
      </c>
      <c r="P170" s="99">
        <v>13</v>
      </c>
      <c r="Q170" s="99">
        <v>11099.76259164</v>
      </c>
      <c r="R170" s="99">
        <v>13892.54578305</v>
      </c>
      <c r="S170" s="99">
        <v>5010</v>
      </c>
      <c r="T170" s="99">
        <v>267</v>
      </c>
      <c r="U170" s="99">
        <v>343281.98783601006</v>
      </c>
      <c r="V170" s="99">
        <v>0</v>
      </c>
      <c r="W170" s="99">
        <v>2837703.4863739302</v>
      </c>
      <c r="X170" s="44" t="s">
        <v>28</v>
      </c>
      <c r="Z170" s="106"/>
    </row>
    <row r="171" spans="1:26" ht="12.75">
      <c r="A171" s="44" t="s">
        <v>29</v>
      </c>
      <c r="B171" s="128">
        <v>1782392</v>
      </c>
      <c r="C171" s="99">
        <f>'[4]BSL'!$DL$1348-'[4]Treasury Bills &amp; Bonds Holdings'!$AS$8</f>
        <v>271354.3739065399</v>
      </c>
      <c r="D171" s="100">
        <v>135994</v>
      </c>
      <c r="E171" s="99">
        <v>22532.15</v>
      </c>
      <c r="F171" s="99"/>
      <c r="G171" s="99"/>
      <c r="H171" s="99"/>
      <c r="I171" s="99">
        <v>112788.87</v>
      </c>
      <c r="J171" s="99"/>
      <c r="K171" s="99"/>
      <c r="L171" s="99"/>
      <c r="M171" s="99">
        <v>0</v>
      </c>
      <c r="N171" s="100">
        <v>16805.65</v>
      </c>
      <c r="O171" s="133">
        <v>244154</v>
      </c>
      <c r="P171" s="99">
        <v>13</v>
      </c>
      <c r="Q171" s="99">
        <v>10430.17197055</v>
      </c>
      <c r="R171" s="99">
        <v>2387.60328651</v>
      </c>
      <c r="S171" s="99">
        <v>5028</v>
      </c>
      <c r="T171" s="99">
        <v>266</v>
      </c>
      <c r="U171" s="99">
        <v>327939.42953221995</v>
      </c>
      <c r="V171" s="99">
        <v>0</v>
      </c>
      <c r="W171" s="99">
        <v>2784116.69118641</v>
      </c>
      <c r="X171" s="44" t="s">
        <v>29</v>
      </c>
      <c r="Z171" s="106"/>
    </row>
    <row r="172" spans="1:26" ht="12.75">
      <c r="A172" s="145" t="s">
        <v>30</v>
      </c>
      <c r="B172" s="128">
        <v>1830468</v>
      </c>
      <c r="C172" s="99">
        <v>230979.25553054002</v>
      </c>
      <c r="D172" s="100">
        <v>109296.2</v>
      </c>
      <c r="E172" s="99">
        <v>20782</v>
      </c>
      <c r="F172" s="99"/>
      <c r="G172" s="99"/>
      <c r="H172" s="99"/>
      <c r="I172" s="99">
        <v>100866</v>
      </c>
      <c r="J172" s="99"/>
      <c r="K172" s="99"/>
      <c r="L172" s="99"/>
      <c r="M172" s="99">
        <v>0</v>
      </c>
      <c r="N172" s="133">
        <v>7517.65</v>
      </c>
      <c r="O172" s="133">
        <v>210851</v>
      </c>
      <c r="P172" s="99">
        <v>13</v>
      </c>
      <c r="Q172" s="99">
        <v>8832</v>
      </c>
      <c r="R172" s="99">
        <v>11287</v>
      </c>
      <c r="S172" s="99">
        <v>5010</v>
      </c>
      <c r="T172" s="99">
        <v>273</v>
      </c>
      <c r="U172" s="99">
        <v>322476</v>
      </c>
      <c r="V172" s="99">
        <v>0</v>
      </c>
      <c r="W172" s="99">
        <v>2784356</v>
      </c>
      <c r="X172" s="44" t="s">
        <v>30</v>
      </c>
      <c r="Z172" s="106"/>
    </row>
    <row r="173" spans="1:26" ht="12.75">
      <c r="A173" s="44" t="s">
        <v>31</v>
      </c>
      <c r="B173" s="128">
        <v>1875758</v>
      </c>
      <c r="C173" s="99">
        <f>291980-N173</f>
        <v>281298.75</v>
      </c>
      <c r="D173" s="133">
        <v>108203.75</v>
      </c>
      <c r="E173" s="99">
        <v>21027</v>
      </c>
      <c r="F173" s="99"/>
      <c r="G173" s="99"/>
      <c r="H173" s="99"/>
      <c r="I173" s="99">
        <v>151997</v>
      </c>
      <c r="J173" s="99"/>
      <c r="K173" s="99"/>
      <c r="L173" s="99"/>
      <c r="M173" s="99">
        <v>0</v>
      </c>
      <c r="N173" s="133">
        <v>10681.25</v>
      </c>
      <c r="O173" s="133">
        <v>265008.75</v>
      </c>
      <c r="P173" s="99">
        <v>13</v>
      </c>
      <c r="Q173" s="99">
        <v>8386</v>
      </c>
      <c r="R173" s="99">
        <v>1113</v>
      </c>
      <c r="S173" s="99">
        <v>5010</v>
      </c>
      <c r="T173" s="99">
        <v>273</v>
      </c>
      <c r="U173" s="99">
        <v>235847</v>
      </c>
      <c r="V173" s="99">
        <v>0</v>
      </c>
      <c r="W173" s="99">
        <v>2868380</v>
      </c>
      <c r="X173" s="44" t="s">
        <v>31</v>
      </c>
      <c r="Z173" s="106"/>
    </row>
    <row r="174" spans="1:26" ht="12.75">
      <c r="A174" s="44" t="s">
        <v>32</v>
      </c>
      <c r="B174" s="128">
        <v>1920224</v>
      </c>
      <c r="C174" s="99">
        <f>318853-N174</f>
        <v>307582.2</v>
      </c>
      <c r="D174" s="133">
        <v>96012.15</v>
      </c>
      <c r="E174" s="99">
        <v>23166</v>
      </c>
      <c r="F174" s="99"/>
      <c r="G174" s="99"/>
      <c r="H174" s="99"/>
      <c r="I174" s="99">
        <v>188392</v>
      </c>
      <c r="J174" s="99"/>
      <c r="K174" s="99"/>
      <c r="L174" s="99"/>
      <c r="M174" s="99">
        <v>0</v>
      </c>
      <c r="N174" s="133">
        <v>11270.8</v>
      </c>
      <c r="O174" s="133">
        <v>282088.2</v>
      </c>
      <c r="P174" s="99">
        <v>13</v>
      </c>
      <c r="Q174" s="99">
        <v>7732</v>
      </c>
      <c r="R174" s="99">
        <v>1072</v>
      </c>
      <c r="S174" s="99">
        <v>5010</v>
      </c>
      <c r="T174" s="99">
        <v>275</v>
      </c>
      <c r="U174" s="99">
        <v>196863</v>
      </c>
      <c r="V174" s="99">
        <v>0</v>
      </c>
      <c r="W174" s="99">
        <v>2936108</v>
      </c>
      <c r="X174" s="44" t="s">
        <v>32</v>
      </c>
      <c r="Z174" s="106"/>
    </row>
    <row r="175" spans="1:26" ht="12.75">
      <c r="A175" s="171" t="s">
        <v>33</v>
      </c>
      <c r="B175" s="128">
        <v>1980333</v>
      </c>
      <c r="C175" s="99">
        <f>336367-N175</f>
        <v>318499.35</v>
      </c>
      <c r="D175" s="133">
        <v>100139.45</v>
      </c>
      <c r="E175" s="99">
        <v>21798</v>
      </c>
      <c r="F175" s="99"/>
      <c r="G175" s="99"/>
      <c r="H175" s="99"/>
      <c r="I175" s="99">
        <v>196530</v>
      </c>
      <c r="J175" s="99"/>
      <c r="K175" s="99"/>
      <c r="L175" s="99"/>
      <c r="M175" s="99">
        <v>0</v>
      </c>
      <c r="N175" s="133">
        <v>17867.65</v>
      </c>
      <c r="O175" s="133">
        <v>299082.35</v>
      </c>
      <c r="P175" s="99">
        <v>92</v>
      </c>
      <c r="Q175" s="99">
        <v>7400</v>
      </c>
      <c r="R175" s="99">
        <v>12811</v>
      </c>
      <c r="S175" s="99">
        <v>5010</v>
      </c>
      <c r="T175" s="99">
        <v>276</v>
      </c>
      <c r="U175" s="99">
        <v>190170</v>
      </c>
      <c r="V175" s="99">
        <v>0</v>
      </c>
      <c r="W175" s="99">
        <v>3022460</v>
      </c>
      <c r="X175" s="44" t="s">
        <v>33</v>
      </c>
      <c r="Z175" s="106">
        <v>2820877.9043172104</v>
      </c>
    </row>
    <row r="176" spans="1:24" ht="12.75">
      <c r="A176" s="43" t="s">
        <v>35</v>
      </c>
      <c r="B176" s="156">
        <v>2013370</v>
      </c>
      <c r="C176" s="99">
        <f>355300-N176</f>
        <v>338887</v>
      </c>
      <c r="D176" s="133">
        <v>122349</v>
      </c>
      <c r="E176" s="99">
        <v>20921</v>
      </c>
      <c r="F176" s="99"/>
      <c r="G176" s="99"/>
      <c r="H176" s="99"/>
      <c r="I176" s="99">
        <v>195590</v>
      </c>
      <c r="J176" s="99"/>
      <c r="K176" s="99"/>
      <c r="L176" s="99"/>
      <c r="M176" s="153">
        <v>0</v>
      </c>
      <c r="N176" s="133">
        <v>16413</v>
      </c>
      <c r="O176" s="133">
        <f>C176-'9b-Liab'!J203</f>
        <v>320358.0561398701</v>
      </c>
      <c r="P176" s="99">
        <v>13</v>
      </c>
      <c r="Q176" s="99">
        <v>6706</v>
      </c>
      <c r="R176" s="99">
        <v>35566</v>
      </c>
      <c r="S176" s="99">
        <v>5010</v>
      </c>
      <c r="T176" s="99">
        <v>277</v>
      </c>
      <c r="U176" s="99">
        <v>189328</v>
      </c>
      <c r="V176" s="99">
        <v>0</v>
      </c>
      <c r="W176" s="99">
        <v>3095570</v>
      </c>
      <c r="X176" s="44" t="s">
        <v>35</v>
      </c>
    </row>
    <row r="177" spans="1:24" ht="12.75">
      <c r="A177" s="43" t="s">
        <v>36</v>
      </c>
      <c r="B177" s="156">
        <v>2002072</v>
      </c>
      <c r="C177" s="99">
        <f>397677-N177</f>
        <v>380929</v>
      </c>
      <c r="D177" s="133">
        <v>129570</v>
      </c>
      <c r="E177" s="99">
        <v>20901</v>
      </c>
      <c r="F177" s="99"/>
      <c r="G177" s="99"/>
      <c r="H177" s="99"/>
      <c r="I177" s="99">
        <v>230349</v>
      </c>
      <c r="J177" s="99"/>
      <c r="K177" s="99"/>
      <c r="L177" s="99"/>
      <c r="M177" s="153">
        <v>0</v>
      </c>
      <c r="N177" s="100">
        <v>16748</v>
      </c>
      <c r="O177" s="133">
        <f>C177-'9b-Liab'!J204</f>
        <v>358095.71876482025</v>
      </c>
      <c r="P177" s="99">
        <v>13</v>
      </c>
      <c r="Q177" s="99">
        <v>6970</v>
      </c>
      <c r="R177" s="99">
        <v>7851</v>
      </c>
      <c r="S177" s="99">
        <v>4962</v>
      </c>
      <c r="T177" s="99">
        <v>280</v>
      </c>
      <c r="U177" s="99">
        <v>187994</v>
      </c>
      <c r="V177" s="99">
        <v>0</v>
      </c>
      <c r="W177" s="99">
        <v>3097819</v>
      </c>
      <c r="X177" s="44" t="s">
        <v>36</v>
      </c>
    </row>
    <row r="178" spans="1:26" s="126" customFormat="1" ht="12.75">
      <c r="A178" s="145" t="s">
        <v>37</v>
      </c>
      <c r="B178" s="156">
        <v>2129342</v>
      </c>
      <c r="C178" s="99">
        <f>347686-N178</f>
        <v>338251</v>
      </c>
      <c r="D178" s="133">
        <v>139954</v>
      </c>
      <c r="E178" s="99">
        <v>20592</v>
      </c>
      <c r="F178" s="99"/>
      <c r="G178" s="99"/>
      <c r="H178" s="99"/>
      <c r="I178" s="99">
        <v>177694</v>
      </c>
      <c r="J178" s="99"/>
      <c r="K178" s="7"/>
      <c r="L178" s="7"/>
      <c r="M178" s="99">
        <v>0</v>
      </c>
      <c r="N178" s="133">
        <v>9435</v>
      </c>
      <c r="O178" s="133">
        <f>C178-'9b-Liab'!J205</f>
        <v>320650.22313046</v>
      </c>
      <c r="P178" s="99">
        <v>13</v>
      </c>
      <c r="Q178" s="99">
        <v>6872</v>
      </c>
      <c r="R178" s="99">
        <v>21695</v>
      </c>
      <c r="S178" s="99">
        <v>4963</v>
      </c>
      <c r="T178" s="99">
        <v>282</v>
      </c>
      <c r="U178" s="99">
        <v>186338</v>
      </c>
      <c r="V178" s="99">
        <v>0</v>
      </c>
      <c r="W178" s="99">
        <v>3187192</v>
      </c>
      <c r="X178" s="85" t="s">
        <v>37</v>
      </c>
      <c r="Z178" s="107">
        <f>Z175-W175</f>
        <v>-201582.09568278957</v>
      </c>
    </row>
    <row r="179" spans="1:24" s="126" customFormat="1" ht="12.75">
      <c r="A179" s="153"/>
      <c r="C179" s="107"/>
      <c r="J179" s="107"/>
      <c r="K179" s="107"/>
      <c r="L179" s="107"/>
      <c r="N179" s="133"/>
      <c r="O179" s="133"/>
      <c r="Q179" s="107"/>
      <c r="X179" s="153"/>
    </row>
    <row r="180" spans="1:24" s="126" customFormat="1" ht="12.75">
      <c r="A180" s="145">
        <v>2011</v>
      </c>
      <c r="D180" s="107"/>
      <c r="F180" s="107"/>
      <c r="G180" s="107"/>
      <c r="H180" s="107"/>
      <c r="I180" s="157"/>
      <c r="J180" s="157"/>
      <c r="K180" s="157"/>
      <c r="L180" s="157"/>
      <c r="N180" s="133"/>
      <c r="O180" s="133"/>
      <c r="X180" s="145">
        <v>2011</v>
      </c>
    </row>
    <row r="181" spans="1:26" s="126" customFormat="1" ht="12.75">
      <c r="A181" s="145" t="s">
        <v>25</v>
      </c>
      <c r="B181" s="156">
        <v>2155986</v>
      </c>
      <c r="C181" s="99">
        <f>315763-N181</f>
        <v>306149.3</v>
      </c>
      <c r="D181" s="133">
        <v>128042.6</v>
      </c>
      <c r="E181" s="99">
        <v>24792.95</v>
      </c>
      <c r="F181" s="99"/>
      <c r="G181" s="99"/>
      <c r="H181" s="99"/>
      <c r="I181" s="99">
        <v>0</v>
      </c>
      <c r="J181" s="99">
        <v>153298</v>
      </c>
      <c r="K181" s="99"/>
      <c r="L181" s="99"/>
      <c r="M181" s="153">
        <v>0</v>
      </c>
      <c r="N181" s="133">
        <v>9613.7</v>
      </c>
      <c r="O181" s="133">
        <f>C181-'9b-Liab'!J209</f>
        <v>248856.08819165</v>
      </c>
      <c r="P181" s="99">
        <v>13</v>
      </c>
      <c r="Q181" s="99">
        <v>7065</v>
      </c>
      <c r="R181" s="99">
        <v>5548</v>
      </c>
      <c r="S181" s="99">
        <v>4962</v>
      </c>
      <c r="T181" s="99">
        <v>278</v>
      </c>
      <c r="U181" s="99">
        <v>214975</v>
      </c>
      <c r="V181" s="99">
        <v>0</v>
      </c>
      <c r="W181" s="99">
        <v>3194590</v>
      </c>
      <c r="X181" s="85" t="s">
        <v>25</v>
      </c>
      <c r="Z181" s="107"/>
    </row>
    <row r="182" spans="1:26" s="126" customFormat="1" ht="12.75">
      <c r="A182" s="145" t="s">
        <v>26</v>
      </c>
      <c r="B182" s="156">
        <v>2193783</v>
      </c>
      <c r="C182" s="99">
        <f>310039-N182</f>
        <v>297244.8</v>
      </c>
      <c r="D182" s="133">
        <v>120110.9</v>
      </c>
      <c r="E182" s="99">
        <v>24955.7</v>
      </c>
      <c r="F182" s="99"/>
      <c r="G182" s="99"/>
      <c r="H182" s="99"/>
      <c r="I182" s="99">
        <v>14213.08</v>
      </c>
      <c r="J182" s="99">
        <v>137895</v>
      </c>
      <c r="K182" s="99"/>
      <c r="L182" s="99"/>
      <c r="M182" s="153">
        <v>0</v>
      </c>
      <c r="N182" s="133">
        <v>12794.2</v>
      </c>
      <c r="O182" s="133">
        <f>C182-'9b-Liab'!J210</f>
        <v>278940.85727319005</v>
      </c>
      <c r="P182" s="99">
        <v>13</v>
      </c>
      <c r="Q182" s="99">
        <v>13546</v>
      </c>
      <c r="R182" s="99">
        <v>15198</v>
      </c>
      <c r="S182" s="99">
        <v>4962</v>
      </c>
      <c r="T182" s="99">
        <v>279</v>
      </c>
      <c r="U182" s="99">
        <v>206712</v>
      </c>
      <c r="V182" s="99">
        <v>0</v>
      </c>
      <c r="W182" s="99">
        <v>3234531</v>
      </c>
      <c r="X182" s="85" t="s">
        <v>26</v>
      </c>
      <c r="Z182" s="107"/>
    </row>
    <row r="183" spans="1:24" s="126" customFormat="1" ht="12.75">
      <c r="A183" s="145" t="s">
        <v>27</v>
      </c>
      <c r="B183" s="156">
        <v>2252846</v>
      </c>
      <c r="C183" s="99">
        <f>228955-N183</f>
        <v>213440.25</v>
      </c>
      <c r="D183" s="133">
        <v>109803.25</v>
      </c>
      <c r="E183" s="99">
        <v>26070.6</v>
      </c>
      <c r="F183" s="99"/>
      <c r="G183" s="99"/>
      <c r="H183" s="99"/>
      <c r="I183" s="99">
        <v>0</v>
      </c>
      <c r="J183" s="99">
        <v>77516</v>
      </c>
      <c r="K183" s="99"/>
      <c r="L183" s="99"/>
      <c r="M183" s="153">
        <v>0</v>
      </c>
      <c r="N183" s="133">
        <v>15514.75</v>
      </c>
      <c r="O183" s="133">
        <f>C183-'9b-Liab'!J211</f>
        <v>194452.74308832988</v>
      </c>
      <c r="P183" s="99">
        <v>13</v>
      </c>
      <c r="Q183" s="99">
        <v>12799</v>
      </c>
      <c r="R183" s="99">
        <v>8763</v>
      </c>
      <c r="S183" s="99">
        <v>4962</v>
      </c>
      <c r="T183" s="99">
        <v>284</v>
      </c>
      <c r="U183" s="99">
        <v>207650</v>
      </c>
      <c r="V183" s="99">
        <v>0</v>
      </c>
      <c r="W183" s="99">
        <v>3206273</v>
      </c>
      <c r="X183" s="85" t="s">
        <v>27</v>
      </c>
    </row>
    <row r="184" spans="1:24" s="126" customFormat="1" ht="12.75">
      <c r="A184" s="145" t="s">
        <v>28</v>
      </c>
      <c r="B184" s="156">
        <v>2295779</v>
      </c>
      <c r="C184" s="99">
        <f>234919-N184</f>
        <v>219471.85</v>
      </c>
      <c r="D184" s="133">
        <v>107723.95000000001</v>
      </c>
      <c r="E184" s="99">
        <v>25845.2</v>
      </c>
      <c r="F184" s="99"/>
      <c r="G184" s="99"/>
      <c r="H184" s="99"/>
      <c r="I184" s="99">
        <v>8375.01</v>
      </c>
      <c r="J184" s="99">
        <v>77516</v>
      </c>
      <c r="K184" s="99"/>
      <c r="L184" s="99"/>
      <c r="M184" s="153">
        <v>0</v>
      </c>
      <c r="N184" s="133">
        <v>15447.15</v>
      </c>
      <c r="O184" s="133">
        <f>C184-'9b-Liab'!J212</f>
        <v>200884.0531645399</v>
      </c>
      <c r="P184" s="99">
        <v>13</v>
      </c>
      <c r="Q184" s="99">
        <v>12021</v>
      </c>
      <c r="R184" s="99">
        <v>50553</v>
      </c>
      <c r="S184" s="99">
        <v>4962</v>
      </c>
      <c r="T184" s="99">
        <v>681</v>
      </c>
      <c r="U184" s="99">
        <v>206586</v>
      </c>
      <c r="V184" s="99">
        <v>0</v>
      </c>
      <c r="W184" s="99">
        <v>3290503</v>
      </c>
      <c r="X184" s="85" t="s">
        <v>28</v>
      </c>
    </row>
    <row r="185" spans="1:24" s="126" customFormat="1" ht="12" customHeight="1">
      <c r="A185" s="145" t="s">
        <v>29</v>
      </c>
      <c r="B185" s="156">
        <v>2245512</v>
      </c>
      <c r="C185" s="99">
        <f>287309-N185</f>
        <v>275016</v>
      </c>
      <c r="D185" s="133">
        <v>107711.95</v>
      </c>
      <c r="E185" s="133">
        <v>25485</v>
      </c>
      <c r="F185" s="133"/>
      <c r="G185" s="133"/>
      <c r="H185" s="133"/>
      <c r="I185" s="99">
        <v>0</v>
      </c>
      <c r="J185" s="99">
        <v>77516</v>
      </c>
      <c r="K185" s="99">
        <v>64291.5</v>
      </c>
      <c r="L185" s="99"/>
      <c r="M185" s="153">
        <v>0</v>
      </c>
      <c r="N185" s="133">
        <v>12293</v>
      </c>
      <c r="O185" s="133">
        <f>C185-'9b-Liab'!J213</f>
        <v>224403</v>
      </c>
      <c r="P185" s="99">
        <v>13</v>
      </c>
      <c r="Q185" s="99">
        <v>12479</v>
      </c>
      <c r="R185" s="99">
        <v>24922</v>
      </c>
      <c r="S185" s="99">
        <v>5000</v>
      </c>
      <c r="T185" s="99">
        <v>680</v>
      </c>
      <c r="U185" s="99">
        <v>205501</v>
      </c>
      <c r="V185" s="99">
        <v>0</v>
      </c>
      <c r="W185" s="99">
        <v>3250016</v>
      </c>
      <c r="X185" s="85" t="s">
        <v>29</v>
      </c>
    </row>
    <row r="186" spans="1:24" s="126" customFormat="1" ht="12.75">
      <c r="A186" s="145" t="s">
        <v>30</v>
      </c>
      <c r="B186" s="156">
        <v>2230552</v>
      </c>
      <c r="C186" s="99">
        <f>250414-N186</f>
        <v>249989</v>
      </c>
      <c r="D186" s="133">
        <v>82469.2</v>
      </c>
      <c r="E186" s="133">
        <v>24960</v>
      </c>
      <c r="F186" s="133"/>
      <c r="G186" s="133"/>
      <c r="H186" s="133"/>
      <c r="I186" s="99">
        <v>0</v>
      </c>
      <c r="J186" s="99">
        <v>77516</v>
      </c>
      <c r="K186" s="99">
        <v>64291.5</v>
      </c>
      <c r="L186" s="99"/>
      <c r="M186" s="153">
        <v>0</v>
      </c>
      <c r="N186" s="133">
        <v>425</v>
      </c>
      <c r="O186" s="133">
        <f>C186-'9b-Liab'!J214</f>
        <v>219040</v>
      </c>
      <c r="P186" s="99">
        <v>13</v>
      </c>
      <c r="Q186" s="99">
        <v>11643</v>
      </c>
      <c r="R186" s="99">
        <v>25751</v>
      </c>
      <c r="S186" s="99">
        <v>4962</v>
      </c>
      <c r="T186" s="99">
        <v>266</v>
      </c>
      <c r="U186" s="99">
        <v>208754</v>
      </c>
      <c r="V186" s="99">
        <v>0</v>
      </c>
      <c r="W186" s="99">
        <v>3178930</v>
      </c>
      <c r="X186" s="85" t="s">
        <v>30</v>
      </c>
    </row>
    <row r="187" spans="1:24" ht="12.75">
      <c r="A187" s="43" t="s">
        <v>31</v>
      </c>
      <c r="B187" s="156">
        <v>2228414</v>
      </c>
      <c r="C187" s="99">
        <f>275612-N187</f>
        <v>275299.35</v>
      </c>
      <c r="D187" s="133">
        <v>82485.8</v>
      </c>
      <c r="E187" s="133">
        <v>24644</v>
      </c>
      <c r="F187" s="133"/>
      <c r="G187" s="133"/>
      <c r="H187" s="133"/>
      <c r="I187" s="133">
        <v>26290</v>
      </c>
      <c r="J187" s="133">
        <v>77516</v>
      </c>
      <c r="K187" s="133">
        <v>64291.5</v>
      </c>
      <c r="L187" s="133"/>
      <c r="M187" s="153">
        <v>0</v>
      </c>
      <c r="N187" s="133">
        <v>312.65</v>
      </c>
      <c r="O187" s="133">
        <f>C187-'9b-Liab'!J215</f>
        <v>255163.34999999998</v>
      </c>
      <c r="P187" s="99">
        <v>13</v>
      </c>
      <c r="Q187" s="99">
        <v>11253</v>
      </c>
      <c r="R187" s="99">
        <v>33939.59302903</v>
      </c>
      <c r="S187" s="99">
        <v>4962</v>
      </c>
      <c r="T187" s="99">
        <v>280.34835465</v>
      </c>
      <c r="U187" s="99">
        <v>205637</v>
      </c>
      <c r="V187" s="99">
        <v>0</v>
      </c>
      <c r="W187" s="99">
        <v>3204313</v>
      </c>
      <c r="X187" s="44" t="s">
        <v>31</v>
      </c>
    </row>
    <row r="188" spans="1:24" ht="12.75">
      <c r="A188" s="43" t="s">
        <v>32</v>
      </c>
      <c r="B188" s="156">
        <v>2286050</v>
      </c>
      <c r="C188" s="99">
        <f>285844-N188</f>
        <v>285530.35</v>
      </c>
      <c r="D188" s="133">
        <v>79797.29999999999</v>
      </c>
      <c r="E188" s="133">
        <v>14718</v>
      </c>
      <c r="F188" s="133"/>
      <c r="G188" s="133"/>
      <c r="H188" s="133"/>
      <c r="I188" s="133">
        <v>49095</v>
      </c>
      <c r="J188" s="133">
        <v>77516</v>
      </c>
      <c r="K188" s="133">
        <v>64291.5</v>
      </c>
      <c r="L188" s="133"/>
      <c r="M188" s="153">
        <v>0</v>
      </c>
      <c r="N188" s="133">
        <v>313.65</v>
      </c>
      <c r="O188" s="133">
        <f>C188-'9b-Liab'!J216</f>
        <v>260465.34999999998</v>
      </c>
      <c r="P188" s="99">
        <v>13</v>
      </c>
      <c r="Q188" s="99">
        <v>10470</v>
      </c>
      <c r="R188" s="99">
        <v>10700.67544986</v>
      </c>
      <c r="S188" s="99">
        <v>4962</v>
      </c>
      <c r="T188" s="99">
        <v>283.06198522</v>
      </c>
      <c r="U188" s="99">
        <v>204297</v>
      </c>
      <c r="V188" s="99">
        <v>0</v>
      </c>
      <c r="W188" s="99">
        <v>3236403</v>
      </c>
      <c r="X188" s="44" t="s">
        <v>32</v>
      </c>
    </row>
    <row r="189" spans="1:24" s="177" customFormat="1" ht="12.75">
      <c r="A189" s="171" t="s">
        <v>33</v>
      </c>
      <c r="B189" s="172">
        <v>2287981</v>
      </c>
      <c r="C189" s="173">
        <v>553730.68077546</v>
      </c>
      <c r="D189" s="174">
        <v>70807</v>
      </c>
      <c r="E189" s="174">
        <v>13727</v>
      </c>
      <c r="F189" s="174">
        <f>280000</f>
        <v>280000</v>
      </c>
      <c r="G189" s="174">
        <v>0</v>
      </c>
      <c r="H189" s="174"/>
      <c r="I189" s="174">
        <v>37199</v>
      </c>
      <c r="J189" s="174">
        <v>77516</v>
      </c>
      <c r="K189" s="174">
        <v>64291.5</v>
      </c>
      <c r="L189" s="174"/>
      <c r="M189" s="175">
        <v>0</v>
      </c>
      <c r="N189" s="174">
        <v>462</v>
      </c>
      <c r="O189" s="133">
        <f>C189-'9b-Liab'!J217</f>
        <v>529590.68077546</v>
      </c>
      <c r="P189" s="173">
        <v>13</v>
      </c>
      <c r="Q189" s="173">
        <v>9819</v>
      </c>
      <c r="R189" s="173">
        <v>562.26321911</v>
      </c>
      <c r="S189" s="173">
        <v>4962</v>
      </c>
      <c r="T189" s="173">
        <v>282.12012612</v>
      </c>
      <c r="U189" s="173">
        <v>210570</v>
      </c>
      <c r="V189" s="173">
        <v>0</v>
      </c>
      <c r="W189" s="173">
        <v>3067920</v>
      </c>
      <c r="X189" s="176" t="s">
        <v>33</v>
      </c>
    </row>
    <row r="190" spans="1:24" s="126" customFormat="1" ht="12.75">
      <c r="A190" s="145" t="s">
        <v>152</v>
      </c>
      <c r="B190" s="156">
        <v>2298127</v>
      </c>
      <c r="C190" s="99">
        <v>533070.02578557</v>
      </c>
      <c r="D190" s="133">
        <v>55214</v>
      </c>
      <c r="E190" s="133">
        <v>8338.25</v>
      </c>
      <c r="F190" s="174">
        <f>280000</f>
        <v>280000</v>
      </c>
      <c r="G190" s="133">
        <v>0</v>
      </c>
      <c r="H190" s="133"/>
      <c r="I190" s="133">
        <v>39039</v>
      </c>
      <c r="J190" s="133">
        <v>77516</v>
      </c>
      <c r="K190" s="133">
        <v>64291.5</v>
      </c>
      <c r="L190" s="133"/>
      <c r="M190" s="153">
        <v>0</v>
      </c>
      <c r="N190" s="133">
        <v>451</v>
      </c>
      <c r="O190" s="133">
        <f>C190-'9b-Liab'!J218</f>
        <v>512811.42578557006</v>
      </c>
      <c r="P190" s="99">
        <v>13</v>
      </c>
      <c r="Q190" s="99">
        <v>9128</v>
      </c>
      <c r="R190" s="99">
        <v>12113</v>
      </c>
      <c r="S190" s="99">
        <v>4962</v>
      </c>
      <c r="T190" s="99">
        <v>283</v>
      </c>
      <c r="U190" s="99">
        <v>212963</v>
      </c>
      <c r="V190" s="99">
        <v>0</v>
      </c>
      <c r="W190" s="99">
        <v>3070659.15221168</v>
      </c>
      <c r="X190" s="85" t="s">
        <v>35</v>
      </c>
    </row>
    <row r="191" spans="1:24" s="126" customFormat="1" ht="12.75">
      <c r="A191" s="145" t="s">
        <v>36</v>
      </c>
      <c r="B191" s="156">
        <v>2265405</v>
      </c>
      <c r="C191" s="99">
        <v>526493.68825545</v>
      </c>
      <c r="D191" s="133">
        <v>55596</v>
      </c>
      <c r="E191" s="133">
        <v>9879.9</v>
      </c>
      <c r="F191" s="174">
        <f>280000</f>
        <v>280000</v>
      </c>
      <c r="G191" s="133">
        <v>77516</v>
      </c>
      <c r="H191" s="133"/>
      <c r="I191" s="133">
        <v>32046</v>
      </c>
      <c r="J191" s="133">
        <v>0</v>
      </c>
      <c r="K191" s="133">
        <v>64291.5</v>
      </c>
      <c r="L191" s="133"/>
      <c r="M191" s="153">
        <v>0</v>
      </c>
      <c r="N191" s="133">
        <v>584</v>
      </c>
      <c r="O191" s="133">
        <f>C191-'9b-Liab'!J219</f>
        <v>506578.79825545</v>
      </c>
      <c r="P191" s="99">
        <v>13</v>
      </c>
      <c r="Q191" s="99">
        <v>8014</v>
      </c>
      <c r="R191" s="99">
        <v>10903</v>
      </c>
      <c r="S191" s="99">
        <v>4962</v>
      </c>
      <c r="T191" s="99">
        <v>282</v>
      </c>
      <c r="U191" s="99">
        <v>213676</v>
      </c>
      <c r="V191" s="99">
        <v>0</v>
      </c>
      <c r="W191" s="99">
        <v>3029748.41100588</v>
      </c>
      <c r="X191" s="85" t="s">
        <v>36</v>
      </c>
    </row>
    <row r="192" spans="1:27" s="126" customFormat="1" ht="12.75">
      <c r="A192" s="145" t="s">
        <v>37</v>
      </c>
      <c r="B192" s="156">
        <v>2353224</v>
      </c>
      <c r="C192" s="99">
        <v>534990.99027778</v>
      </c>
      <c r="D192" s="133">
        <v>117357</v>
      </c>
      <c r="E192" s="133">
        <v>11008.65</v>
      </c>
      <c r="F192" s="174">
        <f>280000</f>
        <v>280000</v>
      </c>
      <c r="G192" s="133">
        <v>77516</v>
      </c>
      <c r="H192" s="133"/>
      <c r="I192" s="133">
        <v>26886</v>
      </c>
      <c r="J192" s="133">
        <v>0</v>
      </c>
      <c r="K192" s="133">
        <v>0</v>
      </c>
      <c r="L192" s="133"/>
      <c r="M192" s="153">
        <v>0</v>
      </c>
      <c r="N192" s="133">
        <v>15079</v>
      </c>
      <c r="O192" s="133">
        <f>C192-'9b-Liab'!J220</f>
        <v>519779.99027778</v>
      </c>
      <c r="P192" s="99">
        <v>13</v>
      </c>
      <c r="Q192" s="99">
        <v>6854</v>
      </c>
      <c r="R192" s="99">
        <v>5859</v>
      </c>
      <c r="S192" s="99">
        <v>4962</v>
      </c>
      <c r="T192" s="99">
        <v>282.12012612</v>
      </c>
      <c r="U192" s="99">
        <v>173248</v>
      </c>
      <c r="V192" s="99">
        <v>0</v>
      </c>
      <c r="W192" s="99">
        <v>3079434</v>
      </c>
      <c r="X192" s="85" t="s">
        <v>37</v>
      </c>
      <c r="AA192" s="107"/>
    </row>
    <row r="193" spans="1:27" s="126" customFormat="1" ht="12.75">
      <c r="A193" s="145"/>
      <c r="B193" s="156"/>
      <c r="C193" s="99"/>
      <c r="D193" s="133"/>
      <c r="E193" s="133"/>
      <c r="F193" s="133"/>
      <c r="G193" s="133"/>
      <c r="H193" s="133"/>
      <c r="I193" s="133"/>
      <c r="J193" s="133"/>
      <c r="K193" s="133"/>
      <c r="L193" s="133"/>
      <c r="M193" s="153"/>
      <c r="N193" s="133"/>
      <c r="O193" s="133"/>
      <c r="P193" s="99"/>
      <c r="Q193" s="99"/>
      <c r="R193" s="99"/>
      <c r="S193" s="99"/>
      <c r="T193" s="99"/>
      <c r="U193" s="99"/>
      <c r="V193" s="99"/>
      <c r="W193" s="99"/>
      <c r="X193" s="85"/>
      <c r="AA193" s="107"/>
    </row>
    <row r="194" spans="1:27" s="126" customFormat="1" ht="12.75">
      <c r="A194" s="145">
        <v>2012</v>
      </c>
      <c r="B194" s="156"/>
      <c r="C194" s="99"/>
      <c r="D194" s="133"/>
      <c r="E194" s="133"/>
      <c r="F194" s="133"/>
      <c r="G194" s="133"/>
      <c r="H194" s="133"/>
      <c r="I194" s="133"/>
      <c r="J194" s="133"/>
      <c r="K194" s="133"/>
      <c r="L194" s="133"/>
      <c r="M194" s="153"/>
      <c r="N194" s="133"/>
      <c r="O194" s="133"/>
      <c r="P194" s="99"/>
      <c r="Q194" s="99"/>
      <c r="R194" s="99"/>
      <c r="S194" s="99"/>
      <c r="T194" s="99"/>
      <c r="U194" s="99"/>
      <c r="V194" s="99"/>
      <c r="W194" s="99"/>
      <c r="X194" s="145">
        <v>2012</v>
      </c>
      <c r="AA194" s="107"/>
    </row>
    <row r="195" spans="1:34" s="167" customFormat="1" ht="12.75">
      <c r="A195" s="145" t="s">
        <v>25</v>
      </c>
      <c r="B195" s="156">
        <v>2342928</v>
      </c>
      <c r="C195" s="99">
        <v>544555</v>
      </c>
      <c r="D195" s="133">
        <v>144456.55000000002</v>
      </c>
      <c r="E195" s="133">
        <v>11060</v>
      </c>
      <c r="F195" s="174">
        <f>280000</f>
        <v>280000</v>
      </c>
      <c r="G195" s="133">
        <v>77516</v>
      </c>
      <c r="H195" s="133"/>
      <c r="I195" s="133">
        <v>24280</v>
      </c>
      <c r="J195" s="133">
        <v>0</v>
      </c>
      <c r="K195" s="133">
        <v>0</v>
      </c>
      <c r="L195" s="133"/>
      <c r="M195" s="153">
        <v>0</v>
      </c>
      <c r="N195" s="133">
        <v>572</v>
      </c>
      <c r="O195" s="133">
        <f>C195-'9b-Liab'!J223</f>
        <v>525854</v>
      </c>
      <c r="P195" s="99">
        <v>13</v>
      </c>
      <c r="Q195" s="99">
        <v>12102</v>
      </c>
      <c r="R195" s="99">
        <v>0</v>
      </c>
      <c r="S195" s="99">
        <v>4962</v>
      </c>
      <c r="T195" s="99">
        <v>281</v>
      </c>
      <c r="U195" s="99">
        <v>173780</v>
      </c>
      <c r="V195" s="99">
        <v>0</v>
      </c>
      <c r="W195" s="99">
        <v>3078621</v>
      </c>
      <c r="X195" s="85" t="s">
        <v>25</v>
      </c>
      <c r="Y195" s="184"/>
      <c r="Z195" s="184"/>
      <c r="AA195" s="185"/>
      <c r="AB195" s="184"/>
      <c r="AC195" s="184"/>
      <c r="AD195" s="184"/>
      <c r="AE195" s="184"/>
      <c r="AF195" s="184"/>
      <c r="AG195" s="184"/>
      <c r="AH195" s="184"/>
    </row>
    <row r="196" spans="1:34" s="167" customFormat="1" ht="12.75">
      <c r="A196" s="145" t="s">
        <v>26</v>
      </c>
      <c r="B196" s="156">
        <v>2430796</v>
      </c>
      <c r="C196" s="99">
        <v>514723</v>
      </c>
      <c r="D196" s="133">
        <v>139714</v>
      </c>
      <c r="E196" s="133">
        <v>10718</v>
      </c>
      <c r="F196" s="133">
        <f aca="true" t="shared" si="15" ref="F196:F206">280000-15570</f>
        <v>264430</v>
      </c>
      <c r="G196" s="133">
        <v>77516</v>
      </c>
      <c r="H196" s="133"/>
      <c r="I196" s="133">
        <v>0</v>
      </c>
      <c r="J196" s="133">
        <v>0</v>
      </c>
      <c r="K196" s="133">
        <v>0</v>
      </c>
      <c r="L196" s="133"/>
      <c r="M196" s="153">
        <v>0</v>
      </c>
      <c r="N196" s="133">
        <v>573</v>
      </c>
      <c r="O196" s="133">
        <f>C196-'9b-Liab'!J224</f>
        <v>481099</v>
      </c>
      <c r="P196" s="99">
        <v>13</v>
      </c>
      <c r="Q196" s="99">
        <v>15234</v>
      </c>
      <c r="R196" s="99">
        <v>0</v>
      </c>
      <c r="S196" s="99">
        <v>4962</v>
      </c>
      <c r="T196" s="99">
        <v>281</v>
      </c>
      <c r="U196" s="99">
        <v>191155</v>
      </c>
      <c r="V196" s="99">
        <v>0</v>
      </c>
      <c r="W196" s="99">
        <v>3157165</v>
      </c>
      <c r="X196" s="85" t="s">
        <v>26</v>
      </c>
      <c r="Y196" s="184"/>
      <c r="Z196" s="184"/>
      <c r="AA196" s="185"/>
      <c r="AB196" s="184"/>
      <c r="AC196" s="184"/>
      <c r="AD196" s="184"/>
      <c r="AE196" s="184"/>
      <c r="AF196" s="184"/>
      <c r="AG196" s="184"/>
      <c r="AH196" s="184"/>
    </row>
    <row r="197" spans="1:34" s="166" customFormat="1" ht="12.75">
      <c r="A197" s="145" t="s">
        <v>27</v>
      </c>
      <c r="B197" s="156">
        <v>2396506</v>
      </c>
      <c r="C197" s="99">
        <v>504717</v>
      </c>
      <c r="D197" s="133">
        <v>129466</v>
      </c>
      <c r="E197" s="133">
        <v>12145</v>
      </c>
      <c r="F197" s="133">
        <f t="shared" si="15"/>
        <v>264430</v>
      </c>
      <c r="G197" s="133">
        <v>77516</v>
      </c>
      <c r="H197" s="133"/>
      <c r="I197" s="133">
        <v>0</v>
      </c>
      <c r="J197" s="133">
        <v>0</v>
      </c>
      <c r="K197" s="133">
        <v>0</v>
      </c>
      <c r="L197" s="133"/>
      <c r="M197" s="153">
        <v>0</v>
      </c>
      <c r="N197" s="133">
        <v>489</v>
      </c>
      <c r="O197" s="133">
        <f>C197-'9b-Liab'!J225</f>
        <v>446837</v>
      </c>
      <c r="P197" s="99">
        <v>65</v>
      </c>
      <c r="Q197" s="99">
        <v>15057</v>
      </c>
      <c r="R197" s="99">
        <v>1711</v>
      </c>
      <c r="S197" s="99">
        <v>4962</v>
      </c>
      <c r="T197" s="99">
        <v>281</v>
      </c>
      <c r="U197" s="99">
        <v>200789</v>
      </c>
      <c r="V197" s="99">
        <v>0</v>
      </c>
      <c r="W197" s="99">
        <v>3124087</v>
      </c>
      <c r="X197" s="85" t="s">
        <v>27</v>
      </c>
      <c r="Y197" s="126"/>
      <c r="Z197" s="126"/>
      <c r="AA197" s="107"/>
      <c r="AB197" s="126"/>
      <c r="AC197" s="126"/>
      <c r="AD197" s="126"/>
      <c r="AE197" s="126"/>
      <c r="AF197" s="126"/>
      <c r="AG197" s="126"/>
      <c r="AH197" s="126"/>
    </row>
    <row r="198" spans="1:34" s="166" customFormat="1" ht="12.75">
      <c r="A198" s="145" t="s">
        <v>28</v>
      </c>
      <c r="B198" s="156">
        <v>2391734</v>
      </c>
      <c r="C198" s="99">
        <v>520167</v>
      </c>
      <c r="D198" s="133">
        <v>82941</v>
      </c>
      <c r="E198" s="133">
        <v>11798</v>
      </c>
      <c r="F198" s="133">
        <f t="shared" si="15"/>
        <v>264430</v>
      </c>
      <c r="G198" s="133">
        <v>77516</v>
      </c>
      <c r="H198" s="133"/>
      <c r="I198" s="133">
        <v>64121</v>
      </c>
      <c r="J198" s="133">
        <v>0</v>
      </c>
      <c r="K198" s="133">
        <v>0</v>
      </c>
      <c r="L198" s="133"/>
      <c r="M198" s="153">
        <v>0</v>
      </c>
      <c r="N198" s="133">
        <v>228</v>
      </c>
      <c r="O198" s="133">
        <f>C198-'9b-Liab'!J226</f>
        <v>493758</v>
      </c>
      <c r="P198" s="99">
        <v>13</v>
      </c>
      <c r="Q198" s="99">
        <v>14339</v>
      </c>
      <c r="R198" s="99">
        <v>0</v>
      </c>
      <c r="S198" s="99">
        <v>4962</v>
      </c>
      <c r="T198" s="99">
        <v>281</v>
      </c>
      <c r="U198" s="99">
        <v>203449</v>
      </c>
      <c r="V198" s="99">
        <v>0</v>
      </c>
      <c r="W198" s="99">
        <v>3134946</v>
      </c>
      <c r="X198" s="85" t="s">
        <v>28</v>
      </c>
      <c r="Y198" s="126"/>
      <c r="Z198" s="126"/>
      <c r="AA198" s="107"/>
      <c r="AB198" s="126"/>
      <c r="AC198" s="126"/>
      <c r="AD198" s="126"/>
      <c r="AE198" s="126"/>
      <c r="AF198" s="126"/>
      <c r="AG198" s="126"/>
      <c r="AH198" s="126"/>
    </row>
    <row r="199" spans="1:34" s="166" customFormat="1" ht="12.75">
      <c r="A199" s="145" t="s">
        <v>29</v>
      </c>
      <c r="B199" s="156">
        <v>2389486</v>
      </c>
      <c r="C199" s="99">
        <v>440663</v>
      </c>
      <c r="D199" s="133">
        <v>46701</v>
      </c>
      <c r="E199" s="133">
        <v>14908</v>
      </c>
      <c r="F199" s="133">
        <f t="shared" si="15"/>
        <v>264430</v>
      </c>
      <c r="G199" s="133">
        <v>77516</v>
      </c>
      <c r="H199" s="133"/>
      <c r="I199" s="133">
        <v>19896</v>
      </c>
      <c r="J199" s="133">
        <v>0</v>
      </c>
      <c r="K199" s="133">
        <v>0</v>
      </c>
      <c r="L199" s="133"/>
      <c r="M199" s="153">
        <v>0</v>
      </c>
      <c r="N199" s="133">
        <v>5</v>
      </c>
      <c r="O199" s="133">
        <f>C199-'9b-Liab'!J227</f>
        <v>410874</v>
      </c>
      <c r="P199" s="99">
        <v>13</v>
      </c>
      <c r="Q199" s="99">
        <v>13610</v>
      </c>
      <c r="R199" s="99">
        <v>293</v>
      </c>
      <c r="S199" s="99">
        <v>4962</v>
      </c>
      <c r="T199" s="99">
        <v>309</v>
      </c>
      <c r="U199" s="99">
        <v>204637</v>
      </c>
      <c r="V199" s="99">
        <v>0</v>
      </c>
      <c r="W199" s="99">
        <v>3053973</v>
      </c>
      <c r="X199" s="85" t="s">
        <v>29</v>
      </c>
      <c r="Y199" s="126"/>
      <c r="Z199" s="126"/>
      <c r="AA199" s="107"/>
      <c r="AB199" s="126"/>
      <c r="AC199" s="126"/>
      <c r="AD199" s="126"/>
      <c r="AE199" s="126"/>
      <c r="AF199" s="126"/>
      <c r="AG199" s="126"/>
      <c r="AH199" s="126"/>
    </row>
    <row r="200" spans="1:24" s="189" customFormat="1" ht="12.75">
      <c r="A200" s="145" t="s">
        <v>30</v>
      </c>
      <c r="B200" s="156">
        <v>2341377</v>
      </c>
      <c r="C200" s="99">
        <v>440488</v>
      </c>
      <c r="D200" s="133">
        <v>34462</v>
      </c>
      <c r="E200" s="133">
        <v>15788</v>
      </c>
      <c r="F200" s="133">
        <f t="shared" si="15"/>
        <v>264430</v>
      </c>
      <c r="G200" s="133">
        <v>77516</v>
      </c>
      <c r="H200" s="133"/>
      <c r="I200" s="133">
        <v>32172</v>
      </c>
      <c r="J200" s="133">
        <v>0</v>
      </c>
      <c r="K200" s="133">
        <v>0</v>
      </c>
      <c r="L200" s="133"/>
      <c r="M200" s="153">
        <v>0</v>
      </c>
      <c r="N200" s="133">
        <v>0</v>
      </c>
      <c r="O200" s="133">
        <f>C200-'9b-Liab'!J228</f>
        <v>406151</v>
      </c>
      <c r="P200" s="99">
        <v>13</v>
      </c>
      <c r="Q200" s="99">
        <v>12618</v>
      </c>
      <c r="R200" s="99">
        <v>12338</v>
      </c>
      <c r="S200" s="99">
        <v>4962</v>
      </c>
      <c r="T200" s="99">
        <v>280</v>
      </c>
      <c r="U200" s="99">
        <v>199062</v>
      </c>
      <c r="V200" s="99">
        <v>0</v>
      </c>
      <c r="W200" s="99">
        <v>3011138</v>
      </c>
      <c r="X200" s="85" t="s">
        <v>30</v>
      </c>
    </row>
    <row r="201" spans="1:24" s="189" customFormat="1" ht="12.75">
      <c r="A201" s="145" t="s">
        <v>31</v>
      </c>
      <c r="B201" s="128">
        <v>2326257.94020171</v>
      </c>
      <c r="C201" s="99">
        <v>479197.26772438</v>
      </c>
      <c r="D201" s="133">
        <v>34412.700000000004</v>
      </c>
      <c r="E201" s="133">
        <v>18847.25</v>
      </c>
      <c r="F201" s="133">
        <f t="shared" si="15"/>
        <v>264430</v>
      </c>
      <c r="G201" s="133">
        <v>77516</v>
      </c>
      <c r="H201" s="133"/>
      <c r="I201" s="133">
        <v>68375.67</v>
      </c>
      <c r="J201" s="133">
        <v>0</v>
      </c>
      <c r="K201" s="133">
        <v>0</v>
      </c>
      <c r="L201" s="133"/>
      <c r="M201" s="153">
        <v>0</v>
      </c>
      <c r="N201" s="133">
        <v>0</v>
      </c>
      <c r="O201" s="133">
        <f>C201-'9b-Liab'!J229</f>
        <v>441298.2139961901</v>
      </c>
      <c r="P201" s="99">
        <v>13</v>
      </c>
      <c r="Q201" s="99">
        <v>11390.36148835</v>
      </c>
      <c r="R201" s="99">
        <v>239.47513516</v>
      </c>
      <c r="S201" s="99">
        <v>4962</v>
      </c>
      <c r="T201" s="99">
        <v>280.70257647</v>
      </c>
      <c r="U201" s="99">
        <v>209712.59699969</v>
      </c>
      <c r="V201" s="99">
        <v>0</v>
      </c>
      <c r="W201" s="99">
        <v>3032053.68428562</v>
      </c>
      <c r="X201" s="85" t="s">
        <v>31</v>
      </c>
    </row>
    <row r="202" spans="1:24" s="189" customFormat="1" ht="12.75">
      <c r="A202" s="145" t="s">
        <v>32</v>
      </c>
      <c r="B202" s="128">
        <v>2320456.1519144103</v>
      </c>
      <c r="C202" s="99">
        <v>460942.15834938</v>
      </c>
      <c r="D202" s="133">
        <v>34383.45</v>
      </c>
      <c r="E202" s="133">
        <v>20089.849999999977</v>
      </c>
      <c r="F202" s="133">
        <f t="shared" si="15"/>
        <v>264430</v>
      </c>
      <c r="G202" s="133">
        <v>77516</v>
      </c>
      <c r="H202" s="133"/>
      <c r="I202" s="133">
        <v>48934.76</v>
      </c>
      <c r="J202" s="133">
        <v>0</v>
      </c>
      <c r="K202" s="133">
        <v>0</v>
      </c>
      <c r="L202" s="133"/>
      <c r="M202" s="153">
        <v>0</v>
      </c>
      <c r="N202" s="133">
        <v>0</v>
      </c>
      <c r="O202" s="133">
        <f>C202-'9b-Liab'!J230</f>
        <v>433006.5124371803</v>
      </c>
      <c r="P202" s="99">
        <v>13</v>
      </c>
      <c r="Q202" s="99">
        <v>11494.282597460002</v>
      </c>
      <c r="R202" s="99">
        <v>16488.332521570002</v>
      </c>
      <c r="S202" s="99">
        <v>4962</v>
      </c>
      <c r="T202" s="99">
        <v>286.10005432</v>
      </c>
      <c r="U202" s="99">
        <v>211073.93612616</v>
      </c>
      <c r="V202" s="99">
        <v>0</v>
      </c>
      <c r="W202" s="99">
        <v>3025716.30172316</v>
      </c>
      <c r="X202" s="85" t="s">
        <v>32</v>
      </c>
    </row>
    <row r="203" spans="1:24" ht="12.75">
      <c r="A203" s="145" t="s">
        <v>33</v>
      </c>
      <c r="B203" s="128">
        <v>2364131.19078132</v>
      </c>
      <c r="C203" s="99">
        <v>501129.9370481</v>
      </c>
      <c r="D203" s="133">
        <v>68344.85</v>
      </c>
      <c r="E203" s="133">
        <v>21084.650000000023</v>
      </c>
      <c r="F203" s="133">
        <f t="shared" si="15"/>
        <v>264430</v>
      </c>
      <c r="G203" s="133">
        <v>77516</v>
      </c>
      <c r="H203" s="133"/>
      <c r="I203" s="133">
        <v>54166.04</v>
      </c>
      <c r="J203" s="133">
        <v>0</v>
      </c>
      <c r="K203" s="133">
        <v>0</v>
      </c>
      <c r="L203" s="133"/>
      <c r="M203" s="153">
        <v>0</v>
      </c>
      <c r="N203" s="133">
        <v>0</v>
      </c>
      <c r="O203" s="133">
        <f>C203-'9b-Liab'!J231</f>
        <v>475444.3461102709</v>
      </c>
      <c r="P203" s="99">
        <v>13</v>
      </c>
      <c r="Q203" s="99">
        <v>10630.87333363</v>
      </c>
      <c r="R203" s="99">
        <v>0</v>
      </c>
      <c r="S203" s="99">
        <v>4962</v>
      </c>
      <c r="T203" s="99">
        <v>280.86174237</v>
      </c>
      <c r="U203" s="99">
        <v>215656.07188072003</v>
      </c>
      <c r="V203" s="99">
        <v>0</v>
      </c>
      <c r="W203" s="99">
        <v>3096804.274946</v>
      </c>
      <c r="X203" s="85" t="s">
        <v>33</v>
      </c>
    </row>
    <row r="204" spans="1:24" s="227" customFormat="1" ht="12.75">
      <c r="A204" s="145" t="s">
        <v>35</v>
      </c>
      <c r="B204" s="128">
        <v>2513434</v>
      </c>
      <c r="C204" s="99">
        <v>471477</v>
      </c>
      <c r="D204" s="133">
        <v>68143</v>
      </c>
      <c r="E204" s="133">
        <v>23039</v>
      </c>
      <c r="F204" s="133">
        <f t="shared" si="15"/>
        <v>264430</v>
      </c>
      <c r="G204" s="133">
        <v>77516</v>
      </c>
      <c r="H204" s="133"/>
      <c r="I204" s="133">
        <v>22752</v>
      </c>
      <c r="J204" s="133">
        <v>0</v>
      </c>
      <c r="K204" s="133">
        <v>0</v>
      </c>
      <c r="L204" s="133"/>
      <c r="M204" s="153">
        <v>0</v>
      </c>
      <c r="N204" s="133">
        <v>0</v>
      </c>
      <c r="O204" s="133">
        <f>C204-'9b-Liab'!J232</f>
        <v>436560</v>
      </c>
      <c r="P204" s="99">
        <v>15</v>
      </c>
      <c r="Q204" s="99">
        <v>9735</v>
      </c>
      <c r="R204" s="99">
        <v>0</v>
      </c>
      <c r="S204" s="99">
        <v>4962</v>
      </c>
      <c r="T204" s="99">
        <v>280.86174237</v>
      </c>
      <c r="U204" s="99">
        <v>222297</v>
      </c>
      <c r="V204" s="99">
        <v>0</v>
      </c>
      <c r="W204" s="99">
        <v>3222202</v>
      </c>
      <c r="X204" s="85" t="s">
        <v>35</v>
      </c>
    </row>
    <row r="205" spans="1:24" s="227" customFormat="1" ht="12.75">
      <c r="A205" s="145" t="s">
        <v>36</v>
      </c>
      <c r="B205" s="128">
        <v>2484954.7476628097</v>
      </c>
      <c r="C205" s="99">
        <v>459850.95866859006</v>
      </c>
      <c r="D205" s="133">
        <v>14813.199999999999</v>
      </c>
      <c r="E205" s="133">
        <v>19828.400000000023</v>
      </c>
      <c r="F205" s="133">
        <f t="shared" si="15"/>
        <v>264430</v>
      </c>
      <c r="G205" s="133">
        <v>77516</v>
      </c>
      <c r="H205" s="133"/>
      <c r="I205" s="133">
        <v>67667.34</v>
      </c>
      <c r="J205" s="133">
        <v>0</v>
      </c>
      <c r="K205" s="133">
        <v>0</v>
      </c>
      <c r="L205" s="133"/>
      <c r="M205" s="153">
        <v>0</v>
      </c>
      <c r="N205" s="133">
        <v>0</v>
      </c>
      <c r="O205" s="133">
        <f>C205-'9b-Liab'!J233</f>
        <v>435173.6485637615</v>
      </c>
      <c r="P205" s="99">
        <v>13.25670586</v>
      </c>
      <c r="Q205" s="99">
        <v>8881.69984176</v>
      </c>
      <c r="R205" s="99">
        <v>7734.62776812</v>
      </c>
      <c r="S205" s="99">
        <v>4962</v>
      </c>
      <c r="T205" s="99">
        <v>282.85789717</v>
      </c>
      <c r="U205" s="99">
        <v>228724.26319388003</v>
      </c>
      <c r="V205" s="99">
        <v>0</v>
      </c>
      <c r="W205" s="99">
        <v>3195404.4951921897</v>
      </c>
      <c r="X205" s="85" t="s">
        <v>36</v>
      </c>
    </row>
    <row r="206" spans="1:24" s="227" customFormat="1" ht="12.75">
      <c r="A206" s="145" t="s">
        <v>37</v>
      </c>
      <c r="B206" s="128">
        <v>2518711.46096302</v>
      </c>
      <c r="C206" s="99">
        <v>440711.93888007</v>
      </c>
      <c r="D206" s="133">
        <v>15351.05</v>
      </c>
      <c r="E206" s="133">
        <v>19693.70000000001</v>
      </c>
      <c r="F206" s="133">
        <f t="shared" si="15"/>
        <v>264430</v>
      </c>
      <c r="G206" s="133">
        <v>77516</v>
      </c>
      <c r="H206" s="133"/>
      <c r="I206" s="133">
        <v>48116.79</v>
      </c>
      <c r="J206" s="133">
        <v>0</v>
      </c>
      <c r="K206" s="133">
        <v>0</v>
      </c>
      <c r="L206" s="133"/>
      <c r="M206" s="153">
        <v>0</v>
      </c>
      <c r="N206" s="133">
        <v>0</v>
      </c>
      <c r="O206" s="133">
        <f>C206-'9b-Liab'!J234</f>
        <v>416116.20368247</v>
      </c>
      <c r="P206" s="99">
        <v>13.25670586</v>
      </c>
      <c r="Q206" s="99">
        <v>8583.78641211</v>
      </c>
      <c r="R206" s="99">
        <v>13677.029970299998</v>
      </c>
      <c r="S206" s="99">
        <v>4962</v>
      </c>
      <c r="T206" s="99">
        <v>281.12251987</v>
      </c>
      <c r="U206" s="99">
        <v>216094.34664481</v>
      </c>
      <c r="V206" s="99">
        <v>0</v>
      </c>
      <c r="W206" s="99">
        <v>3203035.02555004</v>
      </c>
      <c r="X206" s="85" t="s">
        <v>37</v>
      </c>
    </row>
    <row r="207" spans="1:24" s="227" customFormat="1" ht="12.75">
      <c r="A207" s="221"/>
      <c r="B207" s="222"/>
      <c r="C207" s="223"/>
      <c r="D207" s="224"/>
      <c r="E207" s="224"/>
      <c r="F207" s="224"/>
      <c r="G207" s="224"/>
      <c r="H207" s="224"/>
      <c r="I207" s="224"/>
      <c r="J207" s="224"/>
      <c r="K207" s="224"/>
      <c r="L207" s="224"/>
      <c r="M207" s="225"/>
      <c r="N207" s="224"/>
      <c r="O207" s="224"/>
      <c r="P207" s="223"/>
      <c r="Q207" s="223"/>
      <c r="R207" s="223"/>
      <c r="S207" s="223"/>
      <c r="T207" s="223"/>
      <c r="U207" s="223"/>
      <c r="V207" s="223"/>
      <c r="W207" s="223"/>
      <c r="X207" s="226"/>
    </row>
    <row r="208" spans="1:27" s="230" customFormat="1" ht="12.75">
      <c r="A208" s="145">
        <v>2013</v>
      </c>
      <c r="B208" s="231"/>
      <c r="C208" s="223"/>
      <c r="D208" s="224"/>
      <c r="E208" s="224"/>
      <c r="F208" s="224"/>
      <c r="G208" s="224"/>
      <c r="H208" s="224"/>
      <c r="I208" s="224"/>
      <c r="J208" s="224"/>
      <c r="K208" s="224"/>
      <c r="L208" s="224"/>
      <c r="M208" s="225"/>
      <c r="N208" s="224"/>
      <c r="O208" s="224"/>
      <c r="P208" s="223"/>
      <c r="Q208" s="223"/>
      <c r="R208" s="223"/>
      <c r="S208" s="223"/>
      <c r="T208" s="223"/>
      <c r="U208" s="223"/>
      <c r="V208" s="223"/>
      <c r="W208" s="223"/>
      <c r="X208" s="145">
        <v>2013</v>
      </c>
      <c r="AA208" s="232"/>
    </row>
    <row r="209" spans="1:34" s="228" customFormat="1" ht="12.75">
      <c r="A209" s="145" t="s">
        <v>25</v>
      </c>
      <c r="B209" s="156">
        <v>2500081</v>
      </c>
      <c r="C209" s="99">
        <v>469328</v>
      </c>
      <c r="D209" s="133">
        <v>15061</v>
      </c>
      <c r="E209" s="133">
        <v>17959</v>
      </c>
      <c r="F209" s="133">
        <f aca="true" t="shared" si="16" ref="F209:F234">280000-15570</f>
        <v>264430</v>
      </c>
      <c r="G209" s="133">
        <v>77516</v>
      </c>
      <c r="H209" s="133"/>
      <c r="I209" s="133">
        <v>78767</v>
      </c>
      <c r="J209" s="133">
        <v>0</v>
      </c>
      <c r="K209" s="133">
        <v>0</v>
      </c>
      <c r="L209" s="133"/>
      <c r="M209" s="153">
        <v>0</v>
      </c>
      <c r="N209" s="133">
        <v>0</v>
      </c>
      <c r="O209" s="133">
        <f>C209-'9b-Liab'!J237</f>
        <v>449213</v>
      </c>
      <c r="P209" s="99">
        <v>13</v>
      </c>
      <c r="Q209" s="99">
        <v>12767</v>
      </c>
      <c r="R209" s="99">
        <v>3311</v>
      </c>
      <c r="S209" s="99">
        <v>4962</v>
      </c>
      <c r="T209" s="99">
        <v>281</v>
      </c>
      <c r="U209" s="99">
        <v>220447.39531867</v>
      </c>
      <c r="V209" s="99">
        <v>0</v>
      </c>
      <c r="W209" s="99">
        <v>3211190.8043175805</v>
      </c>
      <c r="X209" s="85" t="s">
        <v>25</v>
      </c>
      <c r="Y209" s="230"/>
      <c r="Z209" s="230"/>
      <c r="AA209" s="232"/>
      <c r="AB209" s="230"/>
      <c r="AC209" s="230"/>
      <c r="AD209" s="230"/>
      <c r="AE209" s="230"/>
      <c r="AF209" s="230"/>
      <c r="AG209" s="230"/>
      <c r="AH209" s="230"/>
    </row>
    <row r="210" spans="1:34" s="228" customFormat="1" ht="12.75">
      <c r="A210" s="145" t="s">
        <v>26</v>
      </c>
      <c r="B210" s="156">
        <v>2528245</v>
      </c>
      <c r="C210" s="99">
        <v>473395</v>
      </c>
      <c r="D210" s="133">
        <v>6984</v>
      </c>
      <c r="E210" s="133">
        <v>18282</v>
      </c>
      <c r="F210" s="133">
        <f t="shared" si="16"/>
        <v>264430</v>
      </c>
      <c r="G210" s="133">
        <v>77516</v>
      </c>
      <c r="H210" s="133"/>
      <c r="I210" s="133">
        <v>90594</v>
      </c>
      <c r="J210" s="133">
        <v>0</v>
      </c>
      <c r="K210" s="133">
        <v>0</v>
      </c>
      <c r="L210" s="133"/>
      <c r="M210" s="153">
        <v>0</v>
      </c>
      <c r="N210" s="133">
        <v>0</v>
      </c>
      <c r="O210" s="133">
        <f>C210-'9b-Liab'!J238</f>
        <v>438321</v>
      </c>
      <c r="P210" s="99">
        <v>13</v>
      </c>
      <c r="Q210" s="99">
        <v>15901</v>
      </c>
      <c r="R210" s="99">
        <v>1175</v>
      </c>
      <c r="S210" s="99">
        <v>4962</v>
      </c>
      <c r="T210" s="99">
        <v>287</v>
      </c>
      <c r="U210" s="99">
        <v>216713.41080287995</v>
      </c>
      <c r="V210" s="99">
        <v>0</v>
      </c>
      <c r="W210" s="99">
        <v>3240691.3007778605</v>
      </c>
      <c r="X210" s="85" t="s">
        <v>26</v>
      </c>
      <c r="Y210" s="230"/>
      <c r="Z210" s="230"/>
      <c r="AA210" s="232"/>
      <c r="AB210" s="230"/>
      <c r="AC210" s="230"/>
      <c r="AD210" s="230"/>
      <c r="AE210" s="230"/>
      <c r="AF210" s="230"/>
      <c r="AG210" s="230"/>
      <c r="AH210" s="230"/>
    </row>
    <row r="211" spans="1:34" s="228" customFormat="1" ht="12.75">
      <c r="A211" s="145" t="s">
        <v>27</v>
      </c>
      <c r="B211" s="156">
        <v>2514428</v>
      </c>
      <c r="C211" s="99">
        <v>459490</v>
      </c>
      <c r="D211" s="133">
        <v>6751</v>
      </c>
      <c r="E211" s="133">
        <v>18465</v>
      </c>
      <c r="F211" s="133">
        <f t="shared" si="16"/>
        <v>264430</v>
      </c>
      <c r="G211" s="133">
        <v>77516</v>
      </c>
      <c r="H211" s="133"/>
      <c r="I211" s="133">
        <v>76739</v>
      </c>
      <c r="J211" s="133">
        <v>0</v>
      </c>
      <c r="K211" s="133">
        <v>0</v>
      </c>
      <c r="L211" s="133"/>
      <c r="M211" s="153">
        <v>0</v>
      </c>
      <c r="N211" s="133">
        <v>0</v>
      </c>
      <c r="O211" s="133">
        <f>C211-'9b-Liab'!J239</f>
        <v>426637</v>
      </c>
      <c r="P211" s="99">
        <v>13</v>
      </c>
      <c r="Q211" s="99">
        <v>16334</v>
      </c>
      <c r="R211" s="99">
        <v>9562</v>
      </c>
      <c r="S211" s="99">
        <v>5006</v>
      </c>
      <c r="T211" s="99">
        <v>286</v>
      </c>
      <c r="U211" s="99">
        <v>216795.12481918</v>
      </c>
      <c r="V211" s="99">
        <v>0</v>
      </c>
      <c r="W211" s="99">
        <v>3221913.9436156307</v>
      </c>
      <c r="X211" s="85" t="s">
        <v>27</v>
      </c>
      <c r="Y211" s="230"/>
      <c r="Z211" s="230"/>
      <c r="AA211" s="232"/>
      <c r="AB211" s="230"/>
      <c r="AC211" s="230"/>
      <c r="AD211" s="230"/>
      <c r="AE211" s="230"/>
      <c r="AF211" s="230"/>
      <c r="AG211" s="230"/>
      <c r="AH211" s="230"/>
    </row>
    <row r="212" spans="1:34" s="228" customFormat="1" ht="12.75">
      <c r="A212" s="145" t="s">
        <v>28</v>
      </c>
      <c r="B212" s="156">
        <v>2548929</v>
      </c>
      <c r="C212" s="99">
        <v>456216</v>
      </c>
      <c r="D212" s="133">
        <v>1222</v>
      </c>
      <c r="E212" s="133">
        <v>14573.900000000023</v>
      </c>
      <c r="F212" s="133">
        <f t="shared" si="16"/>
        <v>264430</v>
      </c>
      <c r="G212" s="133">
        <v>77516</v>
      </c>
      <c r="H212" s="133"/>
      <c r="I212" s="133">
        <v>82885</v>
      </c>
      <c r="J212" s="133">
        <v>0</v>
      </c>
      <c r="K212" s="133">
        <v>0</v>
      </c>
      <c r="L212" s="133"/>
      <c r="M212" s="153">
        <v>0</v>
      </c>
      <c r="N212" s="133">
        <v>0</v>
      </c>
      <c r="O212" s="133">
        <f>C212-'9b-Liab'!J240</f>
        <v>414069</v>
      </c>
      <c r="P212" s="99">
        <v>13</v>
      </c>
      <c r="Q212" s="99">
        <v>15360</v>
      </c>
      <c r="R212" s="99">
        <v>175</v>
      </c>
      <c r="S212" s="99">
        <v>5005</v>
      </c>
      <c r="T212" s="99">
        <v>287</v>
      </c>
      <c r="U212" s="99">
        <v>222709</v>
      </c>
      <c r="V212" s="99">
        <v>0</v>
      </c>
      <c r="W212" s="99">
        <v>3248693</v>
      </c>
      <c r="X212" s="145" t="s">
        <v>28</v>
      </c>
      <c r="Y212" s="230"/>
      <c r="Z212" s="230"/>
      <c r="AA212" s="232"/>
      <c r="AB212" s="230"/>
      <c r="AC212" s="230"/>
      <c r="AD212" s="230"/>
      <c r="AE212" s="230"/>
      <c r="AF212" s="230"/>
      <c r="AG212" s="230"/>
      <c r="AH212" s="230"/>
    </row>
    <row r="213" spans="1:34" s="228" customFormat="1" ht="12.75">
      <c r="A213" s="145" t="s">
        <v>29</v>
      </c>
      <c r="B213" s="156">
        <v>2515905</v>
      </c>
      <c r="C213" s="99">
        <v>446205</v>
      </c>
      <c r="D213" s="133">
        <v>1015</v>
      </c>
      <c r="E213" s="133">
        <v>13053.799999999988</v>
      </c>
      <c r="F213" s="133">
        <f t="shared" si="16"/>
        <v>264430</v>
      </c>
      <c r="G213" s="133">
        <v>77516</v>
      </c>
      <c r="H213" s="133"/>
      <c r="I213" s="133">
        <v>74601</v>
      </c>
      <c r="J213" s="133">
        <v>0</v>
      </c>
      <c r="K213" s="133">
        <v>0</v>
      </c>
      <c r="L213" s="133"/>
      <c r="M213" s="153">
        <v>0</v>
      </c>
      <c r="N213" s="133">
        <v>0</v>
      </c>
      <c r="O213" s="133">
        <f>C213-'9b-Liab'!J241</f>
        <v>414642</v>
      </c>
      <c r="P213" s="99">
        <v>13</v>
      </c>
      <c r="Q213" s="99">
        <v>16540</v>
      </c>
      <c r="R213" s="99">
        <v>542</v>
      </c>
      <c r="S213" s="99">
        <v>5005</v>
      </c>
      <c r="T213" s="99">
        <v>280</v>
      </c>
      <c r="U213" s="99">
        <v>221602</v>
      </c>
      <c r="V213" s="99">
        <v>0</v>
      </c>
      <c r="W213" s="99">
        <v>3206092</v>
      </c>
      <c r="X213" s="145" t="s">
        <v>29</v>
      </c>
      <c r="Y213" s="230"/>
      <c r="Z213" s="230"/>
      <c r="AA213" s="232"/>
      <c r="AB213" s="230"/>
      <c r="AC213" s="230"/>
      <c r="AD213" s="230"/>
      <c r="AE213" s="230"/>
      <c r="AF213" s="230"/>
      <c r="AG213" s="230"/>
      <c r="AH213" s="230"/>
    </row>
    <row r="214" spans="1:34" s="228" customFormat="1" ht="12.75">
      <c r="A214" s="145" t="s">
        <v>30</v>
      </c>
      <c r="B214" s="156">
        <v>2526778</v>
      </c>
      <c r="C214" s="99">
        <v>408748</v>
      </c>
      <c r="D214" s="133">
        <v>766</v>
      </c>
      <c r="E214" s="133">
        <v>10203.299999999988</v>
      </c>
      <c r="F214" s="133">
        <f t="shared" si="16"/>
        <v>264430</v>
      </c>
      <c r="G214" s="133">
        <v>77516</v>
      </c>
      <c r="H214" s="133"/>
      <c r="I214" s="133">
        <v>40224</v>
      </c>
      <c r="J214" s="133">
        <v>0</v>
      </c>
      <c r="K214" s="133">
        <v>0</v>
      </c>
      <c r="L214" s="133"/>
      <c r="M214" s="153">
        <v>0</v>
      </c>
      <c r="N214" s="133">
        <v>0</v>
      </c>
      <c r="O214" s="133">
        <f>C214-'9b-Liab'!J242</f>
        <v>380483</v>
      </c>
      <c r="P214" s="99">
        <v>13</v>
      </c>
      <c r="Q214" s="99">
        <v>16224</v>
      </c>
      <c r="R214" s="99">
        <v>3438</v>
      </c>
      <c r="S214" s="99">
        <v>5004</v>
      </c>
      <c r="T214" s="99">
        <v>245</v>
      </c>
      <c r="U214" s="99">
        <v>221458</v>
      </c>
      <c r="V214" s="99">
        <v>0</v>
      </c>
      <c r="W214" s="99">
        <v>3181908</v>
      </c>
      <c r="X214" s="145" t="s">
        <v>30</v>
      </c>
      <c r="Y214" s="230"/>
      <c r="Z214" s="230"/>
      <c r="AA214" s="232"/>
      <c r="AB214" s="230"/>
      <c r="AC214" s="230"/>
      <c r="AD214" s="230"/>
      <c r="AE214" s="230"/>
      <c r="AF214" s="230"/>
      <c r="AG214" s="230"/>
      <c r="AH214" s="230"/>
    </row>
    <row r="215" spans="1:27" s="126" customFormat="1" ht="12.75">
      <c r="A215" s="145" t="s">
        <v>31</v>
      </c>
      <c r="B215" s="156">
        <v>2524060</v>
      </c>
      <c r="C215" s="99">
        <v>520597</v>
      </c>
      <c r="D215" s="133">
        <v>82438</v>
      </c>
      <c r="E215" s="133">
        <v>8002.75</v>
      </c>
      <c r="F215" s="133">
        <f t="shared" si="16"/>
        <v>264430</v>
      </c>
      <c r="G215" s="133">
        <v>77516</v>
      </c>
      <c r="H215" s="133"/>
      <c r="I215" s="133">
        <v>71531</v>
      </c>
      <c r="J215" s="133">
        <v>0</v>
      </c>
      <c r="K215" s="133">
        <v>0</v>
      </c>
      <c r="L215" s="133"/>
      <c r="M215" s="153">
        <v>0</v>
      </c>
      <c r="N215" s="133">
        <v>0</v>
      </c>
      <c r="O215" s="133">
        <f>C215-'9b-Liab'!J243</f>
        <v>482491</v>
      </c>
      <c r="P215" s="99">
        <v>13</v>
      </c>
      <c r="Q215" s="99">
        <v>15005</v>
      </c>
      <c r="R215" s="99">
        <v>4320</v>
      </c>
      <c r="S215" s="99">
        <v>5004</v>
      </c>
      <c r="T215" s="99">
        <v>245</v>
      </c>
      <c r="U215" s="99">
        <v>155997</v>
      </c>
      <c r="V215" s="99">
        <v>0</v>
      </c>
      <c r="W215" s="99">
        <v>3225242</v>
      </c>
      <c r="X215" s="145" t="s">
        <v>31</v>
      </c>
      <c r="AA215" s="107"/>
    </row>
    <row r="216" spans="1:27" s="230" customFormat="1" ht="12.75">
      <c r="A216" s="145" t="s">
        <v>32</v>
      </c>
      <c r="B216" s="156">
        <v>2568763</v>
      </c>
      <c r="C216" s="99">
        <v>496850</v>
      </c>
      <c r="D216" s="133">
        <v>82486</v>
      </c>
      <c r="E216" s="133">
        <v>7734</v>
      </c>
      <c r="F216" s="133">
        <f t="shared" si="16"/>
        <v>264430</v>
      </c>
      <c r="G216" s="133">
        <v>77516</v>
      </c>
      <c r="H216" s="133"/>
      <c r="I216" s="133">
        <v>48018</v>
      </c>
      <c r="J216" s="133">
        <v>0</v>
      </c>
      <c r="K216" s="133">
        <v>0</v>
      </c>
      <c r="L216" s="133"/>
      <c r="M216" s="153">
        <v>0</v>
      </c>
      <c r="N216" s="133">
        <v>0</v>
      </c>
      <c r="O216" s="133">
        <f>C216-'9b-Liab'!J244</f>
        <v>446315</v>
      </c>
      <c r="P216" s="99">
        <v>13</v>
      </c>
      <c r="Q216" s="99">
        <v>14057</v>
      </c>
      <c r="R216" s="99">
        <v>17196</v>
      </c>
      <c r="S216" s="99">
        <v>5004</v>
      </c>
      <c r="T216" s="99">
        <v>238</v>
      </c>
      <c r="U216" s="99">
        <v>158202</v>
      </c>
      <c r="V216" s="99">
        <v>0</v>
      </c>
      <c r="W216" s="99">
        <v>3260324</v>
      </c>
      <c r="X216" s="145" t="s">
        <v>32</v>
      </c>
      <c r="AA216" s="232"/>
    </row>
    <row r="217" spans="1:27" s="230" customFormat="1" ht="12.75">
      <c r="A217" s="145" t="s">
        <v>33</v>
      </c>
      <c r="B217" s="156">
        <v>2568926</v>
      </c>
      <c r="C217" s="99">
        <v>505635</v>
      </c>
      <c r="D217" s="133">
        <v>82545</v>
      </c>
      <c r="E217" s="133">
        <v>6793</v>
      </c>
      <c r="F217" s="133">
        <f t="shared" si="16"/>
        <v>264430</v>
      </c>
      <c r="G217" s="133">
        <v>77516</v>
      </c>
      <c r="H217" s="133"/>
      <c r="I217" s="133">
        <v>57691</v>
      </c>
      <c r="J217" s="133">
        <v>0</v>
      </c>
      <c r="K217" s="133">
        <v>0</v>
      </c>
      <c r="L217" s="133"/>
      <c r="M217" s="153">
        <v>0</v>
      </c>
      <c r="N217" s="133">
        <v>0</v>
      </c>
      <c r="O217" s="133">
        <f>C217-'9b-Liab'!J245</f>
        <v>431252</v>
      </c>
      <c r="P217" s="99">
        <v>13</v>
      </c>
      <c r="Q217" s="99">
        <v>13227</v>
      </c>
      <c r="R217" s="99">
        <v>18693</v>
      </c>
      <c r="S217" s="99">
        <v>4974</v>
      </c>
      <c r="T217" s="99">
        <v>238</v>
      </c>
      <c r="U217" s="99">
        <v>165590</v>
      </c>
      <c r="V217" s="99">
        <v>0</v>
      </c>
      <c r="W217" s="99">
        <v>3277297</v>
      </c>
      <c r="X217" s="145" t="s">
        <v>33</v>
      </c>
      <c r="AA217" s="232"/>
    </row>
    <row r="218" spans="1:27" s="230" customFormat="1" ht="12.75">
      <c r="A218" s="145" t="s">
        <v>35</v>
      </c>
      <c r="B218" s="156">
        <v>2642923</v>
      </c>
      <c r="C218" s="99">
        <v>519688</v>
      </c>
      <c r="D218" s="133">
        <v>82986</v>
      </c>
      <c r="E218" s="133">
        <v>5479</v>
      </c>
      <c r="F218" s="133">
        <f t="shared" si="16"/>
        <v>264430</v>
      </c>
      <c r="G218" s="133">
        <v>77516</v>
      </c>
      <c r="H218" s="133"/>
      <c r="I218" s="133">
        <v>72996</v>
      </c>
      <c r="J218" s="133">
        <v>0</v>
      </c>
      <c r="K218" s="133">
        <v>0</v>
      </c>
      <c r="L218" s="133"/>
      <c r="M218" s="153">
        <v>0</v>
      </c>
      <c r="N218" s="133">
        <v>0</v>
      </c>
      <c r="O218" s="133">
        <f>C218-'9b-Liab'!J246</f>
        <v>464506</v>
      </c>
      <c r="P218" s="99">
        <v>13</v>
      </c>
      <c r="Q218" s="99">
        <v>13230</v>
      </c>
      <c r="R218" s="99">
        <v>10286</v>
      </c>
      <c r="S218" s="99">
        <v>4962</v>
      </c>
      <c r="T218" s="99">
        <v>238</v>
      </c>
      <c r="U218" s="99">
        <v>164034</v>
      </c>
      <c r="V218" s="99">
        <v>0</v>
      </c>
      <c r="W218" s="99">
        <v>3355375</v>
      </c>
      <c r="X218" s="145" t="s">
        <v>35</v>
      </c>
      <c r="AA218" s="232"/>
    </row>
    <row r="219" spans="1:27" s="183" customFormat="1" ht="12.75">
      <c r="A219" s="89" t="s">
        <v>36</v>
      </c>
      <c r="B219" s="156">
        <v>2641990</v>
      </c>
      <c r="C219" s="99">
        <v>529572</v>
      </c>
      <c r="D219" s="133">
        <v>84508</v>
      </c>
      <c r="E219" s="133">
        <v>6127</v>
      </c>
      <c r="F219" s="133">
        <f t="shared" si="16"/>
        <v>264430</v>
      </c>
      <c r="G219" s="133">
        <v>77516</v>
      </c>
      <c r="H219" s="133"/>
      <c r="I219" s="133">
        <v>80709</v>
      </c>
      <c r="J219" s="133">
        <v>0</v>
      </c>
      <c r="K219" s="133">
        <v>0</v>
      </c>
      <c r="L219" s="133"/>
      <c r="M219" s="153">
        <v>0</v>
      </c>
      <c r="N219" s="133">
        <v>0</v>
      </c>
      <c r="O219" s="133">
        <f>C219-'9b-Liab'!J247</f>
        <v>486093</v>
      </c>
      <c r="P219" s="99">
        <v>13</v>
      </c>
      <c r="Q219" s="99">
        <v>11757</v>
      </c>
      <c r="R219" s="99">
        <v>9024</v>
      </c>
      <c r="S219" s="99">
        <v>4962</v>
      </c>
      <c r="T219" s="99">
        <v>238</v>
      </c>
      <c r="U219" s="99">
        <v>169673</v>
      </c>
      <c r="V219" s="99">
        <v>0</v>
      </c>
      <c r="W219" s="99">
        <v>3367229</v>
      </c>
      <c r="X219" s="89" t="s">
        <v>36</v>
      </c>
      <c r="AA219" s="253"/>
    </row>
    <row r="220" spans="1:27" s="183" customFormat="1" ht="12.75">
      <c r="A220" s="89" t="s">
        <v>37</v>
      </c>
      <c r="B220" s="156">
        <v>2780186</v>
      </c>
      <c r="C220" s="99">
        <v>458505</v>
      </c>
      <c r="D220" s="133">
        <v>91620</v>
      </c>
      <c r="E220" s="133">
        <v>7346</v>
      </c>
      <c r="F220" s="133">
        <f t="shared" si="16"/>
        <v>264430</v>
      </c>
      <c r="G220" s="133">
        <v>77516</v>
      </c>
      <c r="H220" s="133"/>
      <c r="I220" s="133">
        <v>1285</v>
      </c>
      <c r="J220" s="133">
        <v>0</v>
      </c>
      <c r="K220" s="133">
        <v>0</v>
      </c>
      <c r="L220" s="133"/>
      <c r="M220" s="153">
        <v>0</v>
      </c>
      <c r="N220" s="133">
        <v>0</v>
      </c>
      <c r="O220" s="133">
        <f>C220-'9b-Liab'!J248</f>
        <v>429194</v>
      </c>
      <c r="P220" s="99">
        <v>13</v>
      </c>
      <c r="Q220" s="99">
        <v>12810</v>
      </c>
      <c r="R220" s="99">
        <v>9406</v>
      </c>
      <c r="S220" s="99">
        <v>4962</v>
      </c>
      <c r="T220" s="99">
        <v>338</v>
      </c>
      <c r="U220" s="99">
        <v>158036</v>
      </c>
      <c r="V220" s="99">
        <v>0</v>
      </c>
      <c r="W220" s="99">
        <v>3424255</v>
      </c>
      <c r="X220" s="89" t="s">
        <v>37</v>
      </c>
      <c r="AA220" s="253"/>
    </row>
    <row r="221" spans="1:27" s="230" customFormat="1" ht="12.75">
      <c r="A221" s="145"/>
      <c r="B221" s="156"/>
      <c r="C221" s="99"/>
      <c r="D221" s="133"/>
      <c r="E221" s="133"/>
      <c r="F221" s="133"/>
      <c r="G221" s="133"/>
      <c r="H221" s="133"/>
      <c r="I221" s="133"/>
      <c r="J221" s="133"/>
      <c r="K221" s="133"/>
      <c r="L221" s="133"/>
      <c r="M221" s="153"/>
      <c r="N221" s="133"/>
      <c r="O221" s="133"/>
      <c r="P221" s="99"/>
      <c r="Q221" s="99"/>
      <c r="R221" s="99"/>
      <c r="S221" s="99"/>
      <c r="T221" s="99"/>
      <c r="U221" s="99"/>
      <c r="V221" s="99"/>
      <c r="W221" s="99"/>
      <c r="X221" s="145"/>
      <c r="AA221" s="232"/>
    </row>
    <row r="222" spans="1:27" s="230" customFormat="1" ht="12.75">
      <c r="A222" s="145"/>
      <c r="B222" s="156"/>
      <c r="C222" s="99"/>
      <c r="D222" s="133"/>
      <c r="E222" s="133"/>
      <c r="F222" s="133"/>
      <c r="G222" s="133"/>
      <c r="H222" s="133"/>
      <c r="I222" s="133"/>
      <c r="J222" s="133"/>
      <c r="K222" s="133"/>
      <c r="L222" s="133"/>
      <c r="M222" s="153"/>
      <c r="N222" s="133"/>
      <c r="O222" s="133"/>
      <c r="P222" s="99"/>
      <c r="Q222" s="99"/>
      <c r="R222" s="99"/>
      <c r="S222" s="99"/>
      <c r="T222" s="99"/>
      <c r="U222" s="99"/>
      <c r="V222" s="99"/>
      <c r="W222" s="99"/>
      <c r="X222" s="145"/>
      <c r="AA222" s="232"/>
    </row>
    <row r="223" spans="1:27" s="230" customFormat="1" ht="12.75">
      <c r="A223" s="145">
        <v>2014</v>
      </c>
      <c r="B223" s="156"/>
      <c r="C223" s="99"/>
      <c r="D223" s="133"/>
      <c r="E223" s="133"/>
      <c r="F223" s="133"/>
      <c r="G223" s="133"/>
      <c r="H223" s="133"/>
      <c r="I223" s="133"/>
      <c r="J223" s="133"/>
      <c r="K223" s="133"/>
      <c r="L223" s="133"/>
      <c r="M223" s="153"/>
      <c r="N223" s="133"/>
      <c r="O223" s="133"/>
      <c r="P223" s="99"/>
      <c r="Q223" s="99"/>
      <c r="R223" s="99"/>
      <c r="S223" s="99"/>
      <c r="T223" s="99"/>
      <c r="U223" s="99"/>
      <c r="V223" s="99"/>
      <c r="W223" s="99"/>
      <c r="X223" s="145">
        <v>2014</v>
      </c>
      <c r="AA223" s="232"/>
    </row>
    <row r="224" spans="1:27" s="230" customFormat="1" ht="12.75">
      <c r="A224" s="145" t="s">
        <v>25</v>
      </c>
      <c r="B224" s="156">
        <v>2788911.9078137595</v>
      </c>
      <c r="C224" s="99">
        <v>450351.7883868</v>
      </c>
      <c r="D224" s="133">
        <v>86165.20000000001</v>
      </c>
      <c r="E224" s="133">
        <v>5950.299999999988</v>
      </c>
      <c r="F224" s="133">
        <f t="shared" si="16"/>
        <v>264430</v>
      </c>
      <c r="G224" s="133">
        <v>77516</v>
      </c>
      <c r="H224" s="133"/>
      <c r="I224" s="133">
        <v>0</v>
      </c>
      <c r="J224" s="133">
        <v>0</v>
      </c>
      <c r="K224" s="133">
        <v>0</v>
      </c>
      <c r="L224" s="133"/>
      <c r="M224" s="153">
        <v>0</v>
      </c>
      <c r="N224" s="133">
        <v>0</v>
      </c>
      <c r="O224" s="133">
        <f>C224-'9b-Liab'!J293</f>
        <v>450351.7883868</v>
      </c>
      <c r="P224" s="99">
        <v>13</v>
      </c>
      <c r="Q224" s="99">
        <v>17140</v>
      </c>
      <c r="R224" s="99">
        <v>25710</v>
      </c>
      <c r="S224" s="99">
        <v>4962</v>
      </c>
      <c r="T224" s="99">
        <v>338</v>
      </c>
      <c r="U224" s="99">
        <v>155891</v>
      </c>
      <c r="V224" s="99">
        <v>0</v>
      </c>
      <c r="W224" s="99">
        <v>3443319</v>
      </c>
      <c r="X224" s="145" t="s">
        <v>25</v>
      </c>
      <c r="AA224" s="232"/>
    </row>
    <row r="225" spans="1:27" s="230" customFormat="1" ht="12.75">
      <c r="A225" s="145" t="s">
        <v>26</v>
      </c>
      <c r="B225" s="156">
        <v>2810863.1787082404</v>
      </c>
      <c r="C225" s="99">
        <v>540395.24807838</v>
      </c>
      <c r="D225" s="133">
        <v>84053.8</v>
      </c>
      <c r="E225" s="133">
        <v>6057.450000000012</v>
      </c>
      <c r="F225" s="133">
        <f t="shared" si="16"/>
        <v>264430</v>
      </c>
      <c r="G225" s="133">
        <v>77516</v>
      </c>
      <c r="H225" s="133"/>
      <c r="I225" s="133">
        <v>92048</v>
      </c>
      <c r="J225" s="133">
        <v>0</v>
      </c>
      <c r="K225" s="133">
        <v>0</v>
      </c>
      <c r="L225" s="133"/>
      <c r="M225" s="153">
        <v>0</v>
      </c>
      <c r="N225" s="133">
        <v>0</v>
      </c>
      <c r="O225" s="133">
        <f>C225-'9b-Liab'!J294</f>
        <v>540395.24807838</v>
      </c>
      <c r="P225" s="99">
        <v>13</v>
      </c>
      <c r="Q225" s="99">
        <v>17272</v>
      </c>
      <c r="R225" s="99">
        <v>7013</v>
      </c>
      <c r="S225" s="99">
        <v>4962</v>
      </c>
      <c r="T225" s="99">
        <v>238</v>
      </c>
      <c r="U225" s="99">
        <v>161609</v>
      </c>
      <c r="V225" s="99">
        <v>0</v>
      </c>
      <c r="W225" s="99">
        <v>3542367</v>
      </c>
      <c r="X225" s="145" t="s">
        <v>26</v>
      </c>
      <c r="AA225" s="232"/>
    </row>
    <row r="226" spans="1:27" s="230" customFormat="1" ht="12.75">
      <c r="A226" s="145" t="s">
        <v>27</v>
      </c>
      <c r="B226" s="156">
        <v>2839645.9094173806</v>
      </c>
      <c r="C226" s="99">
        <v>523226.00395289</v>
      </c>
      <c r="D226" s="133">
        <v>88075.5</v>
      </c>
      <c r="E226" s="133">
        <v>8040.799999999988</v>
      </c>
      <c r="F226" s="133">
        <f t="shared" si="16"/>
        <v>264430</v>
      </c>
      <c r="G226" s="133">
        <v>77516</v>
      </c>
      <c r="H226" s="133"/>
      <c r="I226" s="133">
        <v>68873</v>
      </c>
      <c r="J226" s="133">
        <v>0</v>
      </c>
      <c r="K226" s="133">
        <v>0</v>
      </c>
      <c r="L226" s="133"/>
      <c r="M226" s="153">
        <v>0</v>
      </c>
      <c r="N226" s="133">
        <v>0</v>
      </c>
      <c r="O226" s="133">
        <f>C226-'9b-Liab'!J295</f>
        <v>523226.00395289</v>
      </c>
      <c r="P226" s="99">
        <v>13</v>
      </c>
      <c r="Q226" s="99">
        <v>20799</v>
      </c>
      <c r="R226" s="99">
        <v>6036</v>
      </c>
      <c r="S226" s="99">
        <v>4962</v>
      </c>
      <c r="T226" s="99">
        <v>295</v>
      </c>
      <c r="U226" s="99">
        <v>162366</v>
      </c>
      <c r="V226" s="99">
        <v>0</v>
      </c>
      <c r="W226" s="99">
        <v>3557343</v>
      </c>
      <c r="X226" s="145" t="s">
        <v>27</v>
      </c>
      <c r="AA226" s="232"/>
    </row>
    <row r="227" spans="1:27" s="230" customFormat="1" ht="12.75">
      <c r="A227" s="145" t="s">
        <v>28</v>
      </c>
      <c r="B227" s="156">
        <v>2869009.4715816006</v>
      </c>
      <c r="C227" s="99">
        <v>543156.2141124001</v>
      </c>
      <c r="D227" s="133">
        <v>5423.700000000001</v>
      </c>
      <c r="E227" s="133">
        <v>8402.400000000052</v>
      </c>
      <c r="F227" s="133">
        <f t="shared" si="16"/>
        <v>264430</v>
      </c>
      <c r="G227" s="133">
        <v>159317.4</v>
      </c>
      <c r="H227" s="133"/>
      <c r="I227" s="133">
        <v>90012.2780456</v>
      </c>
      <c r="J227" s="133">
        <v>0</v>
      </c>
      <c r="K227" s="133">
        <v>0</v>
      </c>
      <c r="L227" s="133"/>
      <c r="M227" s="153">
        <v>0</v>
      </c>
      <c r="N227" s="133">
        <v>0</v>
      </c>
      <c r="O227" s="133">
        <v>543156.2141124001</v>
      </c>
      <c r="P227" s="99">
        <v>13</v>
      </c>
      <c r="Q227" s="99">
        <v>19434.66074549</v>
      </c>
      <c r="R227" s="99">
        <v>6000.89708679</v>
      </c>
      <c r="S227" s="99">
        <v>4962.083454</v>
      </c>
      <c r="T227" s="99">
        <v>294.59742007</v>
      </c>
      <c r="U227" s="99">
        <v>163732.90912735</v>
      </c>
      <c r="V227" s="99">
        <v>0</v>
      </c>
      <c r="W227" s="99">
        <v>3606604.09023356</v>
      </c>
      <c r="X227" s="145" t="s">
        <v>28</v>
      </c>
      <c r="AA227" s="232"/>
    </row>
    <row r="228" spans="1:27" s="230" customFormat="1" ht="12.75">
      <c r="A228" s="145" t="s">
        <v>29</v>
      </c>
      <c r="B228" s="156">
        <v>2923629.95673543</v>
      </c>
      <c r="C228" s="99">
        <v>622402.61904337</v>
      </c>
      <c r="D228" s="133">
        <v>3449.1499999999996</v>
      </c>
      <c r="E228" s="133">
        <v>9563.850000000006</v>
      </c>
      <c r="F228" s="133">
        <f t="shared" si="16"/>
        <v>264430</v>
      </c>
      <c r="G228" s="133">
        <v>159317.4</v>
      </c>
      <c r="H228" s="133">
        <v>75000</v>
      </c>
      <c r="I228" s="133">
        <v>95071.78297657</v>
      </c>
      <c r="J228" s="133">
        <v>0</v>
      </c>
      <c r="K228" s="133">
        <v>0</v>
      </c>
      <c r="L228" s="133"/>
      <c r="M228" s="153">
        <v>0</v>
      </c>
      <c r="N228" s="133">
        <v>0</v>
      </c>
      <c r="O228" s="133">
        <v>622402.61904337</v>
      </c>
      <c r="P228" s="99">
        <v>13</v>
      </c>
      <c r="Q228" s="99">
        <v>18349.90008166</v>
      </c>
      <c r="R228" s="99">
        <v>4320.388072289999</v>
      </c>
      <c r="S228" s="99">
        <v>4962.083454</v>
      </c>
      <c r="T228" s="99">
        <v>238.40354507</v>
      </c>
      <c r="U228" s="99">
        <v>166792.76741196998</v>
      </c>
      <c r="V228" s="99">
        <v>0</v>
      </c>
      <c r="W228" s="99">
        <v>3740709.37504965</v>
      </c>
      <c r="X228" s="145" t="s">
        <v>29</v>
      </c>
      <c r="AA228" s="232"/>
    </row>
    <row r="229" spans="1:27" s="230" customFormat="1" ht="12.75">
      <c r="A229" s="145" t="s">
        <v>30</v>
      </c>
      <c r="B229" s="156">
        <v>2934112.02208962</v>
      </c>
      <c r="C229" s="99">
        <v>618469.91338237</v>
      </c>
      <c r="D229" s="133">
        <v>3186.8</v>
      </c>
      <c r="E229" s="133">
        <v>9857.100000000006</v>
      </c>
      <c r="F229" s="133">
        <f t="shared" si="16"/>
        <v>264430</v>
      </c>
      <c r="G229" s="133">
        <v>159317.4</v>
      </c>
      <c r="H229" s="133">
        <v>75000</v>
      </c>
      <c r="I229" s="133">
        <v>91108.17731557</v>
      </c>
      <c r="J229" s="133">
        <v>0</v>
      </c>
      <c r="K229" s="133">
        <v>0</v>
      </c>
      <c r="L229" s="133"/>
      <c r="M229" s="153">
        <v>0</v>
      </c>
      <c r="N229" s="133">
        <v>0</v>
      </c>
      <c r="O229" s="133">
        <v>618469.91338237</v>
      </c>
      <c r="P229" s="99">
        <v>13</v>
      </c>
      <c r="Q229" s="99">
        <v>17382.10920219</v>
      </c>
      <c r="R229" s="99">
        <v>2829.0000347399996</v>
      </c>
      <c r="S229" s="99">
        <v>4962.083454</v>
      </c>
      <c r="T229" s="99">
        <v>257.01224257</v>
      </c>
      <c r="U229" s="99">
        <v>160171.86537806</v>
      </c>
      <c r="V229" s="99">
        <v>0</v>
      </c>
      <c r="W229" s="99">
        <v>3738197.26248941</v>
      </c>
      <c r="X229" s="145" t="s">
        <v>30</v>
      </c>
      <c r="AA229" s="232"/>
    </row>
    <row r="230" spans="1:27" s="230" customFormat="1" ht="12.75">
      <c r="A230" s="145" t="s">
        <v>31</v>
      </c>
      <c r="B230" s="156">
        <v>3029054</v>
      </c>
      <c r="C230" s="99">
        <v>573589</v>
      </c>
      <c r="D230" s="133">
        <v>3172</v>
      </c>
      <c r="E230" s="133">
        <v>9287</v>
      </c>
      <c r="F230" s="133">
        <f t="shared" si="16"/>
        <v>264430</v>
      </c>
      <c r="G230" s="133">
        <v>159317.4</v>
      </c>
      <c r="H230" s="133">
        <v>75000</v>
      </c>
      <c r="I230" s="133">
        <v>46811</v>
      </c>
      <c r="J230" s="133">
        <v>0</v>
      </c>
      <c r="K230" s="133">
        <v>0</v>
      </c>
      <c r="L230" s="133"/>
      <c r="M230" s="153">
        <v>0</v>
      </c>
      <c r="N230" s="133">
        <v>0</v>
      </c>
      <c r="O230" s="133">
        <v>573589</v>
      </c>
      <c r="P230" s="99">
        <v>13</v>
      </c>
      <c r="Q230" s="99">
        <v>16965</v>
      </c>
      <c r="R230" s="99">
        <v>2828</v>
      </c>
      <c r="S230" s="99">
        <v>4962.083454</v>
      </c>
      <c r="T230" s="99">
        <v>238</v>
      </c>
      <c r="U230" s="99">
        <v>166014</v>
      </c>
      <c r="V230" s="99">
        <v>0</v>
      </c>
      <c r="W230" s="99">
        <v>3793666</v>
      </c>
      <c r="X230" s="145" t="s">
        <v>31</v>
      </c>
      <c r="AA230" s="232"/>
    </row>
    <row r="231" spans="1:27" s="230" customFormat="1" ht="12.75">
      <c r="A231" s="145" t="s">
        <v>32</v>
      </c>
      <c r="B231" s="156">
        <v>3070079</v>
      </c>
      <c r="C231" s="99">
        <v>626453</v>
      </c>
      <c r="D231" s="133">
        <v>6398</v>
      </c>
      <c r="E231" s="133">
        <v>9602</v>
      </c>
      <c r="F231" s="133">
        <f t="shared" si="16"/>
        <v>264430</v>
      </c>
      <c r="G231" s="133">
        <v>159317.4</v>
      </c>
      <c r="H231" s="133">
        <v>75000</v>
      </c>
      <c r="I231" s="133">
        <v>96136</v>
      </c>
      <c r="J231" s="133">
        <v>0</v>
      </c>
      <c r="K231" s="133">
        <v>0</v>
      </c>
      <c r="L231" s="133"/>
      <c r="M231" s="153">
        <v>0</v>
      </c>
      <c r="N231" s="133">
        <v>0</v>
      </c>
      <c r="O231" s="133">
        <v>626453</v>
      </c>
      <c r="P231" s="99">
        <v>13</v>
      </c>
      <c r="Q231" s="99">
        <v>16494</v>
      </c>
      <c r="R231" s="99">
        <v>2829</v>
      </c>
      <c r="S231" s="99">
        <v>4962.083454</v>
      </c>
      <c r="T231" s="99">
        <v>238</v>
      </c>
      <c r="U231" s="99">
        <v>176837</v>
      </c>
      <c r="V231" s="99">
        <v>0</v>
      </c>
      <c r="W231" s="99">
        <v>3897907</v>
      </c>
      <c r="X231" s="145" t="s">
        <v>32</v>
      </c>
      <c r="AA231" s="232"/>
    </row>
    <row r="232" spans="1:27" s="230" customFormat="1" ht="12.75">
      <c r="A232" s="145" t="s">
        <v>33</v>
      </c>
      <c r="B232" s="156">
        <v>3048468</v>
      </c>
      <c r="C232" s="99">
        <v>637297</v>
      </c>
      <c r="D232" s="133">
        <v>6470</v>
      </c>
      <c r="E232" s="133">
        <v>10969.650000000052</v>
      </c>
      <c r="F232" s="133">
        <f t="shared" si="16"/>
        <v>264430</v>
      </c>
      <c r="G232" s="133">
        <v>159317.4</v>
      </c>
      <c r="H232" s="133">
        <v>75000</v>
      </c>
      <c r="I232" s="133">
        <v>105540</v>
      </c>
      <c r="J232" s="133">
        <v>0</v>
      </c>
      <c r="K232" s="133">
        <v>0</v>
      </c>
      <c r="L232" s="133"/>
      <c r="M232" s="153">
        <v>0</v>
      </c>
      <c r="N232" s="133">
        <v>0</v>
      </c>
      <c r="O232" s="133">
        <v>637297</v>
      </c>
      <c r="P232" s="99">
        <v>13</v>
      </c>
      <c r="Q232" s="99">
        <v>16606</v>
      </c>
      <c r="R232" s="99">
        <v>3391</v>
      </c>
      <c r="S232" s="99">
        <v>4962.083454</v>
      </c>
      <c r="T232" s="99">
        <v>238</v>
      </c>
      <c r="U232" s="99">
        <v>175916</v>
      </c>
      <c r="V232" s="99">
        <v>0</v>
      </c>
      <c r="W232" s="99">
        <v>3886892</v>
      </c>
      <c r="X232" s="145" t="s">
        <v>33</v>
      </c>
      <c r="AA232" s="232"/>
    </row>
    <row r="233" spans="1:27" s="230" customFormat="1" ht="12.75">
      <c r="A233" s="145" t="s">
        <v>35</v>
      </c>
      <c r="B233" s="156">
        <v>3355805.4295636793</v>
      </c>
      <c r="C233" s="99">
        <v>796148.65035214</v>
      </c>
      <c r="D233" s="133">
        <v>5887.75</v>
      </c>
      <c r="E233" s="133">
        <f>'[7]BSL '!$GQ$1479-'[7]BSL '!$GQ$1480-'[7]BSL '!$GQ$1481-'[7]BSL '!$GQ$1482-'[7]BSL '!$GQ$1483-'[7]BSL '!$GQ$1484</f>
        <v>11022.85000000002</v>
      </c>
      <c r="F233" s="133">
        <f t="shared" si="16"/>
        <v>264430</v>
      </c>
      <c r="G233" s="133">
        <v>159317.4</v>
      </c>
      <c r="H233" s="133">
        <v>71250</v>
      </c>
      <c r="I233" s="133">
        <v>88351.04128533999</v>
      </c>
      <c r="J233" s="133">
        <v>0</v>
      </c>
      <c r="K233" s="133">
        <v>0</v>
      </c>
      <c r="L233" s="133"/>
      <c r="M233" s="153">
        <v>0</v>
      </c>
      <c r="N233" s="133">
        <v>0</v>
      </c>
      <c r="O233" s="133">
        <v>796148.65035214</v>
      </c>
      <c r="P233" s="99">
        <v>13</v>
      </c>
      <c r="Q233" s="99">
        <v>16191.415379119999</v>
      </c>
      <c r="R233" s="99">
        <v>3680.4275869899993</v>
      </c>
      <c r="S233" s="99">
        <v>4962.083454</v>
      </c>
      <c r="T233" s="99">
        <v>257.14875947</v>
      </c>
      <c r="U233" s="99">
        <v>172202.30859456997</v>
      </c>
      <c r="V233" s="99">
        <v>0</v>
      </c>
      <c r="W233" s="99">
        <v>4349260.720395829</v>
      </c>
      <c r="X233" s="145" t="s">
        <v>35</v>
      </c>
      <c r="AA233" s="232"/>
    </row>
    <row r="234" spans="1:27" s="230" customFormat="1" ht="12.75">
      <c r="A234" s="145" t="s">
        <v>36</v>
      </c>
      <c r="B234" s="156">
        <v>3302169.4867161503</v>
      </c>
      <c r="C234" s="99">
        <v>805534.8857826799</v>
      </c>
      <c r="D234" s="133">
        <v>5315.55</v>
      </c>
      <c r="E234" s="133">
        <f>'[7]BSL '!$GS$1479-'[7]BSL '!$GS$1480-'[7]BSL '!$GS$1481-'[7]BSL '!$GS$1482-'[7]BSL '!$GS$1483-'[7]BSL '!$GS$1484</f>
        <v>9991.449999999939</v>
      </c>
      <c r="F234" s="133">
        <f t="shared" si="16"/>
        <v>264430</v>
      </c>
      <c r="G234" s="133">
        <v>159317.4</v>
      </c>
      <c r="H234" s="133">
        <v>71250</v>
      </c>
      <c r="I234" s="133">
        <v>97885.97892688001</v>
      </c>
      <c r="J234" s="133">
        <v>0</v>
      </c>
      <c r="K234" s="133">
        <v>0</v>
      </c>
      <c r="L234" s="133">
        <v>181712.473</v>
      </c>
      <c r="M234" s="153">
        <v>0</v>
      </c>
      <c r="N234" s="133">
        <v>0</v>
      </c>
      <c r="O234" s="133">
        <v>805534.88578268</v>
      </c>
      <c r="P234" s="99">
        <v>13</v>
      </c>
      <c r="Q234" s="99">
        <v>15253.125630940001</v>
      </c>
      <c r="R234" s="99">
        <v>7009.060096069999</v>
      </c>
      <c r="S234" s="99">
        <v>4989.336497599999</v>
      </c>
      <c r="T234" s="99">
        <v>257.17181447</v>
      </c>
      <c r="U234" s="99">
        <v>177488.13861134998</v>
      </c>
      <c r="V234" s="99">
        <v>0</v>
      </c>
      <c r="W234" s="99">
        <v>4312714.461855121</v>
      </c>
      <c r="X234" s="145" t="s">
        <v>36</v>
      </c>
      <c r="AA234" s="232"/>
    </row>
    <row r="235" spans="1:27" s="268" customFormat="1" ht="14.25">
      <c r="A235" s="263" t="s">
        <v>236</v>
      </c>
      <c r="B235" s="264">
        <v>3507445.4583332203</v>
      </c>
      <c r="C235" s="265">
        <v>784444.3111589599</v>
      </c>
      <c r="D235" s="266">
        <v>44864.9</v>
      </c>
      <c r="E235" s="266">
        <f>'[7]BSL '!$GT$1479-'[7]BSL '!$GT$1480-'[7]BSL '!$GT$1481-'[7]BSL '!$GT$1482-'[7]BSL '!$GT$1483-'[7]BSL '!$GT$1484</f>
        <v>8241.449999999939</v>
      </c>
      <c r="F235" s="266">
        <v>280000</v>
      </c>
      <c r="G235" s="266">
        <v>159317.4</v>
      </c>
      <c r="H235" s="266">
        <v>71250</v>
      </c>
      <c r="I235" s="266">
        <v>39057.65209216</v>
      </c>
      <c r="J235" s="266">
        <v>0</v>
      </c>
      <c r="K235" s="266">
        <v>0</v>
      </c>
      <c r="L235" s="266">
        <v>181712.473</v>
      </c>
      <c r="M235" s="267">
        <v>0</v>
      </c>
      <c r="N235" s="266">
        <v>0</v>
      </c>
      <c r="O235" s="266">
        <f>(D235+E235+I235+L235)-'9b-Liab'!J262</f>
        <v>273876.47509215993</v>
      </c>
      <c r="P235" s="265">
        <v>13</v>
      </c>
      <c r="Q235" s="265">
        <v>18305.74051</v>
      </c>
      <c r="R235" s="265">
        <v>4227.97644471</v>
      </c>
      <c r="S235" s="265">
        <v>0</v>
      </c>
      <c r="T235" s="265">
        <v>15.6637315</v>
      </c>
      <c r="U235" s="265">
        <v>168618.25392512997</v>
      </c>
      <c r="V235" s="265">
        <v>0</v>
      </c>
      <c r="W235" s="265">
        <v>4483070.660809379</v>
      </c>
      <c r="X235" s="263" t="s">
        <v>37</v>
      </c>
      <c r="AA235" s="269"/>
    </row>
    <row r="236" spans="1:27" s="230" customFormat="1" ht="12.75">
      <c r="A236" s="145"/>
      <c r="B236" s="156"/>
      <c r="C236" s="99"/>
      <c r="D236" s="133"/>
      <c r="E236" s="133"/>
      <c r="F236" s="133"/>
      <c r="G236" s="133"/>
      <c r="H236" s="133"/>
      <c r="I236" s="133"/>
      <c r="J236" s="133"/>
      <c r="K236" s="133"/>
      <c r="L236" s="133"/>
      <c r="M236" s="153"/>
      <c r="N236" s="133"/>
      <c r="O236" s="133"/>
      <c r="P236" s="99"/>
      <c r="Q236" s="99"/>
      <c r="R236" s="99"/>
      <c r="S236" s="99"/>
      <c r="T236" s="99"/>
      <c r="U236" s="99"/>
      <c r="V236" s="99"/>
      <c r="W236" s="99"/>
      <c r="X236" s="145"/>
      <c r="AA236" s="232"/>
    </row>
    <row r="237" spans="1:27" s="230" customFormat="1" ht="12.75">
      <c r="A237" s="145">
        <v>2015</v>
      </c>
      <c r="B237" s="156"/>
      <c r="C237" s="99"/>
      <c r="D237" s="133"/>
      <c r="E237" s="133"/>
      <c r="F237" s="133"/>
      <c r="G237" s="133"/>
      <c r="H237" s="133"/>
      <c r="I237" s="133"/>
      <c r="J237" s="133"/>
      <c r="K237" s="133"/>
      <c r="L237" s="133"/>
      <c r="M237" s="153"/>
      <c r="N237" s="133"/>
      <c r="O237" s="133"/>
      <c r="P237" s="99"/>
      <c r="Q237" s="99"/>
      <c r="R237" s="99"/>
      <c r="S237" s="99"/>
      <c r="T237" s="99"/>
      <c r="U237" s="99"/>
      <c r="V237" s="99"/>
      <c r="W237" s="99"/>
      <c r="X237" s="145">
        <v>2015</v>
      </c>
      <c r="AA237" s="232"/>
    </row>
    <row r="238" spans="1:27" s="230" customFormat="1" ht="12.75">
      <c r="A238" s="145" t="s">
        <v>25</v>
      </c>
      <c r="B238" s="156">
        <v>3351368.6731741703</v>
      </c>
      <c r="C238" s="99">
        <f aca="true" t="shared" si="17" ref="C238:C248">SUM(D238:N238)</f>
        <v>732634.1925574001</v>
      </c>
      <c r="D238" s="133">
        <v>3562.9</v>
      </c>
      <c r="E238" s="133">
        <v>7782.5</v>
      </c>
      <c r="F238" s="133">
        <v>280000</v>
      </c>
      <c r="G238" s="133">
        <v>159317.4</v>
      </c>
      <c r="H238" s="133">
        <v>71250</v>
      </c>
      <c r="I238" s="133">
        <v>29008.9195574</v>
      </c>
      <c r="J238" s="133">
        <v>0</v>
      </c>
      <c r="K238" s="133">
        <v>0</v>
      </c>
      <c r="L238" s="133">
        <v>181712.473</v>
      </c>
      <c r="M238" s="153">
        <v>0</v>
      </c>
      <c r="N238" s="133">
        <v>0</v>
      </c>
      <c r="O238" s="133">
        <f>(D238+E238+I238+K238+J238+L238)-'9b-Liab'!J265</f>
        <v>222066.7925574</v>
      </c>
      <c r="P238" s="99">
        <v>13</v>
      </c>
      <c r="Q238" s="99">
        <v>17246.794709560003</v>
      </c>
      <c r="R238" s="99">
        <v>6702.97644471</v>
      </c>
      <c r="S238" s="99">
        <v>0</v>
      </c>
      <c r="T238" s="99">
        <v>26.152526499999997</v>
      </c>
      <c r="U238" s="99">
        <v>173075.90397809</v>
      </c>
      <c r="V238" s="99">
        <v>0</v>
      </c>
      <c r="W238" s="99">
        <v>4281068.38616309</v>
      </c>
      <c r="X238" s="145" t="s">
        <v>25</v>
      </c>
      <c r="AA238" s="232"/>
    </row>
    <row r="239" spans="1:27" s="230" customFormat="1" ht="12.75">
      <c r="A239" s="145" t="s">
        <v>26</v>
      </c>
      <c r="B239" s="156">
        <v>3251768.4309562007</v>
      </c>
      <c r="C239" s="99">
        <f t="shared" si="17"/>
        <v>781299.3021573201</v>
      </c>
      <c r="D239" s="133">
        <v>3313.4500000000003</v>
      </c>
      <c r="E239" s="133">
        <v>5996.3</v>
      </c>
      <c r="F239" s="133">
        <v>280000</v>
      </c>
      <c r="G239" s="133">
        <v>159317.4</v>
      </c>
      <c r="H239" s="133">
        <v>71250</v>
      </c>
      <c r="I239" s="133">
        <v>79709.67915732</v>
      </c>
      <c r="J239" s="133">
        <v>0</v>
      </c>
      <c r="K239" s="133">
        <v>0</v>
      </c>
      <c r="L239" s="133">
        <v>181712.473</v>
      </c>
      <c r="M239" s="153">
        <v>0</v>
      </c>
      <c r="N239" s="133">
        <v>0</v>
      </c>
      <c r="O239" s="133">
        <f>(D239+E239+I239+K239+J239+L239)-'9b-Liab'!J266</f>
        <v>270731.90215732</v>
      </c>
      <c r="P239" s="99">
        <v>13</v>
      </c>
      <c r="Q239" s="99">
        <v>16935.68522988</v>
      </c>
      <c r="R239" s="99">
        <v>5310.04448148</v>
      </c>
      <c r="S239" s="99">
        <v>0</v>
      </c>
      <c r="T239" s="99">
        <v>25.199436499999997</v>
      </c>
      <c r="U239" s="99">
        <v>174861.35825786978</v>
      </c>
      <c r="V239" s="99">
        <v>0</v>
      </c>
      <c r="W239" s="99">
        <v>4230213.7132919105</v>
      </c>
      <c r="X239" s="145" t="s">
        <v>26</v>
      </c>
      <c r="AA239" s="232"/>
    </row>
    <row r="240" spans="1:27" s="230" customFormat="1" ht="12.75">
      <c r="A240" s="145" t="s">
        <v>27</v>
      </c>
      <c r="B240" s="156">
        <v>3563545.50011116</v>
      </c>
      <c r="C240" s="99">
        <f t="shared" si="17"/>
        <v>897571.25125</v>
      </c>
      <c r="D240" s="133">
        <v>23055.35</v>
      </c>
      <c r="E240" s="133">
        <v>5077.8</v>
      </c>
      <c r="F240" s="133">
        <v>280000</v>
      </c>
      <c r="G240" s="133">
        <v>159317.4</v>
      </c>
      <c r="H240" s="133">
        <v>71250</v>
      </c>
      <c r="I240" s="133">
        <v>0</v>
      </c>
      <c r="J240" s="133">
        <v>0</v>
      </c>
      <c r="K240" s="133">
        <v>0</v>
      </c>
      <c r="L240" s="133">
        <v>358870.70125</v>
      </c>
      <c r="M240" s="153">
        <v>0</v>
      </c>
      <c r="N240" s="133">
        <v>0</v>
      </c>
      <c r="O240" s="133">
        <f>(D240+E240+I240+K240+J240+L240)-'9b-Liab'!J267</f>
        <v>341226.98674639</v>
      </c>
      <c r="P240" s="99">
        <v>13</v>
      </c>
      <c r="Q240" s="99">
        <v>20262.98476992</v>
      </c>
      <c r="R240" s="99">
        <v>4731.64402484</v>
      </c>
      <c r="S240" s="99">
        <v>0</v>
      </c>
      <c r="T240" s="99">
        <v>24.046986499999996</v>
      </c>
      <c r="U240" s="99">
        <v>177565.24008339003</v>
      </c>
      <c r="V240" s="99">
        <v>0</v>
      </c>
      <c r="W240" s="99">
        <v>4663714.359998469</v>
      </c>
      <c r="X240" s="145" t="s">
        <v>27</v>
      </c>
      <c r="AA240" s="232"/>
    </row>
    <row r="241" spans="1:27" s="230" customFormat="1" ht="12.75">
      <c r="A241" s="145" t="s">
        <v>28</v>
      </c>
      <c r="B241" s="156">
        <v>3560030.9346717303</v>
      </c>
      <c r="C241" s="99">
        <f t="shared" si="17"/>
        <v>937527.7072630599</v>
      </c>
      <c r="D241" s="133">
        <v>10852.45</v>
      </c>
      <c r="E241" s="133">
        <v>5480.05</v>
      </c>
      <c r="F241" s="133">
        <v>280000</v>
      </c>
      <c r="G241" s="133">
        <v>159317.4</v>
      </c>
      <c r="H241" s="133">
        <v>67500</v>
      </c>
      <c r="I241" s="133">
        <v>55507.106013059994</v>
      </c>
      <c r="J241" s="133">
        <v>0</v>
      </c>
      <c r="K241" s="133">
        <v>0</v>
      </c>
      <c r="L241" s="133">
        <v>358870.70125</v>
      </c>
      <c r="M241" s="153">
        <v>0</v>
      </c>
      <c r="N241" s="133">
        <v>0</v>
      </c>
      <c r="O241" s="133">
        <f>(D241+E241+I241+K241+J241+L241)-'9b-Liab'!J268</f>
        <v>430710.30726306</v>
      </c>
      <c r="P241" s="99">
        <v>13</v>
      </c>
      <c r="Q241" s="99">
        <v>19961.45698171</v>
      </c>
      <c r="R241" s="99">
        <v>4356.56196121</v>
      </c>
      <c r="S241" s="99">
        <v>0</v>
      </c>
      <c r="T241" s="99">
        <v>26.128846499999998</v>
      </c>
      <c r="U241" s="99">
        <v>175831.64423065016</v>
      </c>
      <c r="V241" s="99">
        <v>0</v>
      </c>
      <c r="W241" s="99">
        <v>4697750.39497362</v>
      </c>
      <c r="X241" s="145" t="s">
        <v>28</v>
      </c>
      <c r="AA241" s="232"/>
    </row>
    <row r="242" spans="1:27" s="230" customFormat="1" ht="12.75">
      <c r="A242" s="145" t="s">
        <v>29</v>
      </c>
      <c r="B242" s="156">
        <v>3504184.36676249</v>
      </c>
      <c r="C242" s="99">
        <f t="shared" si="17"/>
        <v>872879.1012500001</v>
      </c>
      <c r="D242" s="133">
        <v>1716.35</v>
      </c>
      <c r="E242" s="133">
        <v>5474.65</v>
      </c>
      <c r="F242" s="133">
        <v>280000</v>
      </c>
      <c r="G242" s="133">
        <v>159317.4</v>
      </c>
      <c r="H242" s="133">
        <v>67500</v>
      </c>
      <c r="I242" s="133">
        <v>0</v>
      </c>
      <c r="J242" s="133">
        <v>0</v>
      </c>
      <c r="K242" s="133">
        <v>0</v>
      </c>
      <c r="L242" s="133">
        <v>358870.70125</v>
      </c>
      <c r="M242" s="153">
        <v>0</v>
      </c>
      <c r="N242" s="133">
        <v>0</v>
      </c>
      <c r="O242" s="133">
        <f>(D242+E242+I242+K242+J242+L242)-'9b-Liab'!J269</f>
        <v>345566.34767027997</v>
      </c>
      <c r="P242" s="99">
        <v>13</v>
      </c>
      <c r="Q242" s="99">
        <v>38129.16629162</v>
      </c>
      <c r="R242" s="99">
        <v>4444.90059266</v>
      </c>
      <c r="S242" s="99">
        <v>0</v>
      </c>
      <c r="T242" s="99">
        <v>20.4516465</v>
      </c>
      <c r="U242" s="99">
        <v>173963.60447593</v>
      </c>
      <c r="V242" s="99">
        <v>0</v>
      </c>
      <c r="W242" s="99">
        <v>4596235.28379186</v>
      </c>
      <c r="X242" s="145" t="s">
        <v>29</v>
      </c>
      <c r="AA242" s="232"/>
    </row>
    <row r="243" spans="1:27" s="230" customFormat="1" ht="12.75">
      <c r="A243" s="145" t="s">
        <v>30</v>
      </c>
      <c r="B243" s="156">
        <v>3551964.9981971895</v>
      </c>
      <c r="C243" s="99">
        <f t="shared" si="17"/>
        <v>938312.33918859</v>
      </c>
      <c r="D243" s="133">
        <v>1474.25</v>
      </c>
      <c r="E243" s="133">
        <v>4993.45</v>
      </c>
      <c r="F243" s="133">
        <v>280000</v>
      </c>
      <c r="G243" s="133">
        <v>159317.4</v>
      </c>
      <c r="H243" s="133">
        <v>67500</v>
      </c>
      <c r="I243" s="133">
        <v>66156.53793859</v>
      </c>
      <c r="J243" s="133">
        <v>0</v>
      </c>
      <c r="K243" s="133">
        <v>0</v>
      </c>
      <c r="L243" s="133">
        <v>358870.70125</v>
      </c>
      <c r="M243" s="153">
        <v>0</v>
      </c>
      <c r="N243" s="133">
        <v>0</v>
      </c>
      <c r="O243" s="133">
        <f>(D243+E243+I243+K243+J243+L243)-'9b-Liab'!J270</f>
        <v>431494.93918859</v>
      </c>
      <c r="P243" s="99">
        <v>13</v>
      </c>
      <c r="Q243" s="99">
        <v>36991.20306546</v>
      </c>
      <c r="R243" s="99">
        <v>4444.90059266</v>
      </c>
      <c r="S243" s="99">
        <v>0</v>
      </c>
      <c r="T243" s="99">
        <v>22.928146499999997</v>
      </c>
      <c r="U243" s="99">
        <v>167607.67116677982</v>
      </c>
      <c r="V243" s="99">
        <v>0</v>
      </c>
      <c r="W243" s="99">
        <v>4699357.7331298385</v>
      </c>
      <c r="X243" s="145" t="s">
        <v>30</v>
      </c>
      <c r="AA243" s="232"/>
    </row>
    <row r="244" spans="1:27" s="230" customFormat="1" ht="12.75">
      <c r="A244" s="145" t="s">
        <v>31</v>
      </c>
      <c r="B244" s="156">
        <v>3489088.81980785</v>
      </c>
      <c r="C244" s="99">
        <f t="shared" si="17"/>
        <v>960290.11744485</v>
      </c>
      <c r="D244" s="133">
        <v>6677.85</v>
      </c>
      <c r="E244" s="133">
        <v>3826.55</v>
      </c>
      <c r="F244" s="133">
        <v>280000</v>
      </c>
      <c r="G244" s="133">
        <v>159317.4</v>
      </c>
      <c r="H244" s="133">
        <v>67500</v>
      </c>
      <c r="I244" s="133">
        <v>84097.61619485001</v>
      </c>
      <c r="J244" s="133">
        <v>0</v>
      </c>
      <c r="K244" s="133">
        <v>0</v>
      </c>
      <c r="L244" s="133">
        <v>358870.70125</v>
      </c>
      <c r="M244" s="153">
        <v>0</v>
      </c>
      <c r="N244" s="133">
        <v>0</v>
      </c>
      <c r="O244" s="133">
        <f>(D244+E244+I244+K244+J244+L244)-'9b-Liab'!J271</f>
        <v>453472.71744485</v>
      </c>
      <c r="P244" s="99">
        <v>13</v>
      </c>
      <c r="Q244" s="99">
        <v>36391.93512059</v>
      </c>
      <c r="R244" s="99">
        <v>4444.90059365</v>
      </c>
      <c r="S244" s="99">
        <v>0</v>
      </c>
      <c r="T244" s="99">
        <v>25.971976499999997</v>
      </c>
      <c r="U244" s="99">
        <v>170122.43988892005</v>
      </c>
      <c r="V244" s="99">
        <v>0</v>
      </c>
      <c r="W244" s="99">
        <v>4660377.877605019</v>
      </c>
      <c r="X244" s="145" t="s">
        <v>31</v>
      </c>
      <c r="AA244" s="232"/>
    </row>
    <row r="245" spans="1:27" s="230" customFormat="1" ht="12.75">
      <c r="A245" s="145" t="s">
        <v>32</v>
      </c>
      <c r="B245" s="156">
        <v>3551671.9181410004</v>
      </c>
      <c r="C245" s="99">
        <f t="shared" si="17"/>
        <v>978719.0381527098</v>
      </c>
      <c r="D245" s="133">
        <v>9090.9</v>
      </c>
      <c r="E245" s="133">
        <v>4394.15</v>
      </c>
      <c r="F245" s="133">
        <v>280000</v>
      </c>
      <c r="G245" s="133">
        <v>159317.4</v>
      </c>
      <c r="H245" s="133">
        <v>67500</v>
      </c>
      <c r="I245" s="133">
        <v>99545.88690271</v>
      </c>
      <c r="J245" s="133">
        <v>0</v>
      </c>
      <c r="K245" s="133">
        <v>0</v>
      </c>
      <c r="L245" s="133">
        <v>358870.70125</v>
      </c>
      <c r="M245" s="153">
        <v>0</v>
      </c>
      <c r="N245" s="133">
        <v>0</v>
      </c>
      <c r="O245" s="133">
        <f>(D245+E245+I245+K245+J245+L245)-'9b-Liab'!J272</f>
        <v>471901.63815271</v>
      </c>
      <c r="P245" s="99">
        <v>13</v>
      </c>
      <c r="Q245" s="99">
        <v>37206.78162925</v>
      </c>
      <c r="R245" s="99">
        <v>5108.365181300001</v>
      </c>
      <c r="S245" s="99">
        <v>0</v>
      </c>
      <c r="T245" s="99">
        <v>26.041071499999997</v>
      </c>
      <c r="U245" s="99">
        <v>174114.63822407983</v>
      </c>
      <c r="V245" s="99">
        <v>0</v>
      </c>
      <c r="W245" s="99">
        <v>4746860.4751725</v>
      </c>
      <c r="X245" s="145" t="s">
        <v>32</v>
      </c>
      <c r="AA245" s="232"/>
    </row>
    <row r="246" spans="1:27" s="230" customFormat="1" ht="12.75">
      <c r="A246" s="145" t="s">
        <v>33</v>
      </c>
      <c r="B246" s="156">
        <v>3589875.1519598705</v>
      </c>
      <c r="C246" s="99">
        <f>SUM(D246:N246)+59</f>
        <v>1087446.89385144</v>
      </c>
      <c r="D246" s="133">
        <v>7951.199999999999</v>
      </c>
      <c r="E246" s="133">
        <v>5781.05</v>
      </c>
      <c r="F246" s="133">
        <v>280000</v>
      </c>
      <c r="G246" s="133">
        <v>159317.4</v>
      </c>
      <c r="H246" s="133">
        <v>67500</v>
      </c>
      <c r="I246" s="133">
        <v>66243.04260144</v>
      </c>
      <c r="J246" s="133">
        <v>0</v>
      </c>
      <c r="K246" s="133">
        <v>141724.5</v>
      </c>
      <c r="L246" s="133">
        <v>358870.70125</v>
      </c>
      <c r="M246" s="153">
        <v>0</v>
      </c>
      <c r="N246" s="133">
        <v>0</v>
      </c>
      <c r="O246" s="133">
        <f>(D246+E246+I246+K246+J246+L246)-'9b-Liab'!J273</f>
        <v>580570.49385144</v>
      </c>
      <c r="P246" s="99">
        <v>13</v>
      </c>
      <c r="Q246" s="99">
        <v>32046.13286777</v>
      </c>
      <c r="R246" s="99">
        <v>6769.86809474</v>
      </c>
      <c r="S246" s="99">
        <v>0</v>
      </c>
      <c r="T246" s="99">
        <v>26.149196499999995</v>
      </c>
      <c r="U246" s="99">
        <v>181996.99246977072</v>
      </c>
      <c r="V246" s="99">
        <v>0</v>
      </c>
      <c r="W246" s="99">
        <v>4898174.074928852</v>
      </c>
      <c r="X246" s="145" t="s">
        <v>33</v>
      </c>
      <c r="AA246" s="232"/>
    </row>
    <row r="247" spans="1:27" s="230" customFormat="1" ht="12.75">
      <c r="A247" s="145" t="s">
        <v>35</v>
      </c>
      <c r="B247" s="156">
        <v>3599713.9945698595</v>
      </c>
      <c r="C247" s="99">
        <f t="shared" si="17"/>
        <v>1121620.22013476</v>
      </c>
      <c r="D247" s="133">
        <v>8298.75</v>
      </c>
      <c r="E247" s="133">
        <v>6146.75</v>
      </c>
      <c r="F247" s="133">
        <v>280000</v>
      </c>
      <c r="G247" s="133">
        <v>159317.4</v>
      </c>
      <c r="H247" s="133">
        <v>63750</v>
      </c>
      <c r="I247" s="133">
        <v>103512.11888476</v>
      </c>
      <c r="J247" s="133">
        <v>0</v>
      </c>
      <c r="K247" s="133">
        <v>141724.5</v>
      </c>
      <c r="L247" s="133">
        <v>358870.70125</v>
      </c>
      <c r="M247" s="153">
        <v>0</v>
      </c>
      <c r="N247" s="133">
        <v>0</v>
      </c>
      <c r="O247" s="133">
        <f>(D247+E247+I247+K247+J247+L247)-'9b-Liab'!J274</f>
        <v>618552.82013476</v>
      </c>
      <c r="P247" s="99">
        <v>13</v>
      </c>
      <c r="Q247" s="99">
        <v>31980.260747139997</v>
      </c>
      <c r="R247" s="99">
        <v>7150.9162825</v>
      </c>
      <c r="S247" s="99">
        <v>0</v>
      </c>
      <c r="T247" s="99">
        <v>26.149196499999995</v>
      </c>
      <c r="U247" s="99">
        <v>179931.4779254502</v>
      </c>
      <c r="V247" s="99">
        <v>0</v>
      </c>
      <c r="W247" s="99">
        <v>4940436.26628887</v>
      </c>
      <c r="X247" s="145" t="s">
        <v>35</v>
      </c>
      <c r="AA247" s="232"/>
    </row>
    <row r="248" spans="1:27" s="230" customFormat="1" ht="12.75">
      <c r="A248" s="145" t="s">
        <v>36</v>
      </c>
      <c r="B248" s="156">
        <v>3869527.7523558005</v>
      </c>
      <c r="C248" s="99">
        <f t="shared" si="17"/>
        <v>1227802.4559275801</v>
      </c>
      <c r="D248" s="133">
        <v>5184.25</v>
      </c>
      <c r="E248" s="133">
        <v>5858.65</v>
      </c>
      <c r="F248" s="133">
        <v>280000</v>
      </c>
      <c r="G248" s="133">
        <v>159317.4</v>
      </c>
      <c r="H248" s="133">
        <v>63750</v>
      </c>
      <c r="I248" s="133">
        <v>95193.47677758</v>
      </c>
      <c r="J248" s="133">
        <v>0</v>
      </c>
      <c r="K248" s="133">
        <v>141724.5</v>
      </c>
      <c r="L248" s="133">
        <v>476774.17915</v>
      </c>
      <c r="M248" s="153">
        <v>0</v>
      </c>
      <c r="N248" s="133">
        <v>0</v>
      </c>
      <c r="O248" s="133">
        <f>(D248+E248+I248+K248+J248+L248)-'9b-Liab'!J275</f>
        <v>724735.05592758</v>
      </c>
      <c r="P248" s="99">
        <v>13</v>
      </c>
      <c r="Q248" s="99">
        <v>31225.769129549997</v>
      </c>
      <c r="R248" s="99">
        <v>5114.782661220001</v>
      </c>
      <c r="S248" s="99">
        <v>0</v>
      </c>
      <c r="T248" s="99">
        <v>25.984756499999996</v>
      </c>
      <c r="U248" s="99">
        <v>180352.35213844894</v>
      </c>
      <c r="V248" s="99">
        <v>0</v>
      </c>
      <c r="W248" s="99">
        <v>5314062.789741759</v>
      </c>
      <c r="X248" s="145" t="s">
        <v>36</v>
      </c>
      <c r="AA248" s="232"/>
    </row>
    <row r="249" spans="1:27" s="230" customFormat="1" ht="12.75">
      <c r="A249" s="145" t="s">
        <v>267</v>
      </c>
      <c r="B249" s="156">
        <v>4109394.1781844604</v>
      </c>
      <c r="C249" s="99">
        <f>SUM(D249:N249)</f>
        <v>1065567.66059381</v>
      </c>
      <c r="D249" s="133">
        <v>16135.85</v>
      </c>
      <c r="E249" s="133">
        <v>6184.65</v>
      </c>
      <c r="F249" s="133">
        <v>280000</v>
      </c>
      <c r="G249" s="133">
        <v>159317.4</v>
      </c>
      <c r="H249" s="133">
        <v>63750</v>
      </c>
      <c r="I249" s="133">
        <v>63405.58144381</v>
      </c>
      <c r="J249" s="133">
        <v>0</v>
      </c>
      <c r="K249" s="133">
        <v>0</v>
      </c>
      <c r="L249" s="133">
        <v>476774.17915</v>
      </c>
      <c r="M249" s="153">
        <v>0</v>
      </c>
      <c r="N249" s="133">
        <v>0</v>
      </c>
      <c r="O249" s="133">
        <f>(D249+E249+I249+K249+J249+L249)-'9b-Liab'!J276</f>
        <v>562500.26059381</v>
      </c>
      <c r="P249" s="99">
        <v>13</v>
      </c>
      <c r="Q249" s="99">
        <v>30009.00258429</v>
      </c>
      <c r="R249" s="99">
        <v>2662.0173674</v>
      </c>
      <c r="S249" s="99">
        <v>0</v>
      </c>
      <c r="T249" s="99">
        <v>18.145850899999996</v>
      </c>
      <c r="U249" s="99">
        <v>174014.18074001</v>
      </c>
      <c r="V249" s="99">
        <v>0</v>
      </c>
      <c r="W249" s="99">
        <v>5381665.185320871</v>
      </c>
      <c r="X249" s="145" t="s">
        <v>37</v>
      </c>
      <c r="AA249" s="232"/>
    </row>
    <row r="250" spans="1:27" s="230" customFormat="1" ht="12.75">
      <c r="A250" s="145"/>
      <c r="B250" s="156"/>
      <c r="C250" s="99"/>
      <c r="D250" s="99"/>
      <c r="E250" s="133"/>
      <c r="F250" s="133"/>
      <c r="G250" s="133"/>
      <c r="H250" s="133"/>
      <c r="I250" s="133"/>
      <c r="J250" s="133"/>
      <c r="K250" s="133"/>
      <c r="L250" s="133"/>
      <c r="M250" s="153"/>
      <c r="N250" s="133"/>
      <c r="O250" s="133"/>
      <c r="P250" s="99"/>
      <c r="Q250" s="99"/>
      <c r="R250" s="99"/>
      <c r="S250" s="99"/>
      <c r="T250" s="99"/>
      <c r="U250" s="99"/>
      <c r="V250" s="99"/>
      <c r="W250" s="99"/>
      <c r="X250" s="145"/>
      <c r="AA250" s="232"/>
    </row>
    <row r="251" spans="1:27" s="230" customFormat="1" ht="12.75">
      <c r="A251" s="145">
        <v>2016</v>
      </c>
      <c r="B251" s="156"/>
      <c r="C251" s="99"/>
      <c r="D251" s="133"/>
      <c r="E251" s="133"/>
      <c r="F251" s="133"/>
      <c r="G251" s="133"/>
      <c r="H251" s="133"/>
      <c r="I251" s="133"/>
      <c r="J251" s="133"/>
      <c r="K251" s="133"/>
      <c r="L251" s="133"/>
      <c r="M251" s="153"/>
      <c r="N251" s="133"/>
      <c r="O251" s="133"/>
      <c r="P251" s="99"/>
      <c r="Q251" s="99"/>
      <c r="R251" s="99"/>
      <c r="S251" s="99"/>
      <c r="T251" s="99"/>
      <c r="U251" s="99"/>
      <c r="V251" s="99"/>
      <c r="W251" s="99"/>
      <c r="X251" s="145">
        <v>2016</v>
      </c>
      <c r="AA251" s="232"/>
    </row>
    <row r="252" spans="1:27" s="230" customFormat="1" ht="12.75">
      <c r="A252" s="145" t="s">
        <v>25</v>
      </c>
      <c r="B252" s="156">
        <v>4037444.2785448497</v>
      </c>
      <c r="C252" s="99">
        <f>SUM(D252:N252)</f>
        <v>1151413.72142268</v>
      </c>
      <c r="D252" s="133">
        <v>29169.800000000003</v>
      </c>
      <c r="E252" s="133">
        <v>5828.3</v>
      </c>
      <c r="F252" s="133">
        <v>280000</v>
      </c>
      <c r="G252" s="133">
        <v>159317.4</v>
      </c>
      <c r="H252" s="133">
        <v>63750</v>
      </c>
      <c r="I252" s="133">
        <v>94303.65464323</v>
      </c>
      <c r="J252" s="133">
        <v>42270.38762945</v>
      </c>
      <c r="K252" s="133">
        <v>0</v>
      </c>
      <c r="L252" s="133">
        <v>476774.17915</v>
      </c>
      <c r="M252" s="153">
        <v>0</v>
      </c>
      <c r="N252" s="133">
        <v>0</v>
      </c>
      <c r="O252" s="133">
        <f>(D252+E252+I252+K252+J252+L252)-'9b-Liab'!J279</f>
        <v>648346.32142268</v>
      </c>
      <c r="P252" s="99">
        <v>13</v>
      </c>
      <c r="Q252" s="99">
        <v>36656.709646330004</v>
      </c>
      <c r="R252" s="99">
        <v>1420.87634498</v>
      </c>
      <c r="S252" s="99">
        <v>0</v>
      </c>
      <c r="T252" s="99">
        <v>20.069910899999996</v>
      </c>
      <c r="U252" s="99">
        <v>176502.3937534499</v>
      </c>
      <c r="V252" s="99">
        <v>0</v>
      </c>
      <c r="W252" s="99">
        <v>5403458.0496231895</v>
      </c>
      <c r="X252" s="145" t="s">
        <v>25</v>
      </c>
      <c r="AA252" s="232"/>
    </row>
    <row r="253" spans="1:27" s="230" customFormat="1" ht="12.75">
      <c r="A253" s="145" t="s">
        <v>26</v>
      </c>
      <c r="B253" s="156">
        <v>4867294.99664277</v>
      </c>
      <c r="C253" s="99">
        <f>SUM(D253:N253)</f>
        <v>1187568.7991726599</v>
      </c>
      <c r="D253" s="133">
        <v>91985.4</v>
      </c>
      <c r="E253" s="133">
        <v>6518.65</v>
      </c>
      <c r="F253" s="133">
        <v>280000</v>
      </c>
      <c r="G253" s="133">
        <v>159317.4</v>
      </c>
      <c r="H253" s="133">
        <v>63750</v>
      </c>
      <c r="I253" s="133">
        <v>88087.97620793</v>
      </c>
      <c r="J253" s="133">
        <v>21135.19381473</v>
      </c>
      <c r="K253" s="133">
        <v>0</v>
      </c>
      <c r="L253" s="133">
        <v>476774.17915</v>
      </c>
      <c r="M253" s="153">
        <v>0</v>
      </c>
      <c r="N253" s="133">
        <v>0</v>
      </c>
      <c r="O253" s="133">
        <f>(D253+E253+I253+K253+J253+L253)-'9b-Liab'!J280</f>
        <v>684501.39917266</v>
      </c>
      <c r="P253" s="99">
        <v>13</v>
      </c>
      <c r="Q253" s="99">
        <v>35942.18225622</v>
      </c>
      <c r="R253" s="99">
        <v>0</v>
      </c>
      <c r="S253" s="99">
        <v>0</v>
      </c>
      <c r="T253" s="99">
        <v>20.069910899999996</v>
      </c>
      <c r="U253" s="99">
        <v>185607.69048681005</v>
      </c>
      <c r="V253" s="99">
        <v>0</v>
      </c>
      <c r="W253" s="99">
        <v>6276433.38296936</v>
      </c>
      <c r="X253" s="145" t="s">
        <v>26</v>
      </c>
      <c r="AA253" s="232"/>
    </row>
    <row r="254" spans="1:27" s="230" customFormat="1" ht="12.75">
      <c r="A254" s="145" t="s">
        <v>27</v>
      </c>
      <c r="B254" s="156">
        <v>4996276.17402356</v>
      </c>
      <c r="C254" s="99">
        <f>SUM(D254:N254)</f>
        <v>1177847.47694551</v>
      </c>
      <c r="D254" s="133">
        <v>69633.45</v>
      </c>
      <c r="E254" s="133">
        <v>8208.85</v>
      </c>
      <c r="F254" s="133">
        <v>280000</v>
      </c>
      <c r="G254" s="133">
        <v>159317.4</v>
      </c>
      <c r="H254" s="133">
        <v>63750</v>
      </c>
      <c r="I254" s="133">
        <v>60163.59779551</v>
      </c>
      <c r="J254" s="133">
        <v>0</v>
      </c>
      <c r="K254" s="133">
        <v>60000</v>
      </c>
      <c r="L254" s="133">
        <v>476774.17915</v>
      </c>
      <c r="M254" s="153">
        <v>0</v>
      </c>
      <c r="N254" s="133">
        <v>0</v>
      </c>
      <c r="O254" s="133">
        <f>(D254+E254+I254+K254+J254+L254)-'9b-Liab'!J281</f>
        <v>674780.07694551</v>
      </c>
      <c r="P254" s="99">
        <v>13</v>
      </c>
      <c r="Q254" s="99">
        <v>38347.26338083</v>
      </c>
      <c r="R254" s="99">
        <v>0</v>
      </c>
      <c r="S254" s="99">
        <v>0</v>
      </c>
      <c r="T254" s="99">
        <v>20.069910899999996</v>
      </c>
      <c r="U254" s="99">
        <v>196999.78274289996</v>
      </c>
      <c r="V254" s="99">
        <v>0</v>
      </c>
      <c r="W254" s="99">
        <v>6409490.271003702</v>
      </c>
      <c r="X254" s="145" t="s">
        <v>27</v>
      </c>
      <c r="AA254" s="232"/>
    </row>
    <row r="255" spans="1:27" s="230" customFormat="1" ht="12.75">
      <c r="A255" s="145" t="s">
        <v>28</v>
      </c>
      <c r="B255" s="156">
        <v>5113486.89212483</v>
      </c>
      <c r="C255" s="99">
        <f>SUM(D255:N255)</f>
        <v>1195824.09954633</v>
      </c>
      <c r="D255" s="133">
        <v>130429.04999999999</v>
      </c>
      <c r="E255" s="133">
        <v>10949.3</v>
      </c>
      <c r="F255" s="133">
        <v>280000</v>
      </c>
      <c r="G255" s="133">
        <v>159317.4</v>
      </c>
      <c r="H255" s="133">
        <v>60000</v>
      </c>
      <c r="I255" s="133">
        <v>18354.170396330002</v>
      </c>
      <c r="J255" s="133">
        <v>0</v>
      </c>
      <c r="K255" s="133">
        <v>60000</v>
      </c>
      <c r="L255" s="133">
        <v>476774.17915</v>
      </c>
      <c r="M255" s="153">
        <v>0</v>
      </c>
      <c r="N255" s="133">
        <v>0</v>
      </c>
      <c r="O255" s="133">
        <f>(D255+E255+I255+K255+J255+L255)-'9b-Liab'!J282</f>
        <v>696506.6995463299</v>
      </c>
      <c r="P255" s="99">
        <v>13</v>
      </c>
      <c r="Q255" s="99">
        <v>38556.6546889</v>
      </c>
      <c r="R255" s="99">
        <v>332.5361230599992</v>
      </c>
      <c r="S255" s="99">
        <v>0</v>
      </c>
      <c r="T255" s="99">
        <v>18.840810899999997</v>
      </c>
      <c r="U255" s="99">
        <v>202489.9295089601</v>
      </c>
      <c r="V255" s="99">
        <v>0</v>
      </c>
      <c r="W255" s="99">
        <v>6550708.95280298</v>
      </c>
      <c r="X255" s="145" t="s">
        <v>28</v>
      </c>
      <c r="AA255" s="232"/>
    </row>
    <row r="256" spans="1:27" s="230" customFormat="1" ht="12.75">
      <c r="A256" s="145" t="s">
        <v>29</v>
      </c>
      <c r="B256" s="156">
        <v>5105902.7259125905</v>
      </c>
      <c r="C256" s="99">
        <f>SUM(D256:N256)</f>
        <v>1253736.23328064</v>
      </c>
      <c r="D256" s="133">
        <v>145538.15</v>
      </c>
      <c r="E256" s="133">
        <v>12587.55</v>
      </c>
      <c r="F256" s="133">
        <v>280000</v>
      </c>
      <c r="G256" s="133">
        <v>159317.4</v>
      </c>
      <c r="H256" s="133">
        <v>60000</v>
      </c>
      <c r="I256" s="133">
        <v>59518.95413064</v>
      </c>
      <c r="J256" s="133">
        <v>0</v>
      </c>
      <c r="K256" s="133">
        <v>60000</v>
      </c>
      <c r="L256" s="133">
        <v>476774.17915</v>
      </c>
      <c r="M256" s="153">
        <v>0</v>
      </c>
      <c r="N256" s="133">
        <v>0</v>
      </c>
      <c r="O256" s="133">
        <f>(D256+E256+I256+K256+J256+L256)-'9b-Liab'!J283</f>
        <v>754418.83328064</v>
      </c>
      <c r="P256" s="99">
        <v>13</v>
      </c>
      <c r="Q256" s="99">
        <v>37142.7609949</v>
      </c>
      <c r="R256" s="99">
        <v>0</v>
      </c>
      <c r="S256" s="99">
        <v>0</v>
      </c>
      <c r="T256" s="99">
        <v>20.004510899999996</v>
      </c>
      <c r="U256" s="99">
        <v>205309.80727889994</v>
      </c>
      <c r="V256" s="99">
        <v>0</v>
      </c>
      <c r="W256" s="99">
        <v>6602111.53197793</v>
      </c>
      <c r="X256" s="145" t="s">
        <v>29</v>
      </c>
      <c r="AA256" s="232"/>
    </row>
    <row r="257" spans="1:27" s="230" customFormat="1" ht="12.75">
      <c r="A257" s="145" t="s">
        <v>30</v>
      </c>
      <c r="B257" s="156">
        <v>4951051.76231832</v>
      </c>
      <c r="C257" s="99">
        <f>SUM(D257:N257)+25</f>
        <v>1323390.55092496</v>
      </c>
      <c r="D257" s="133">
        <v>120991.85</v>
      </c>
      <c r="E257" s="133">
        <v>13633.1</v>
      </c>
      <c r="F257" s="133">
        <v>280000</v>
      </c>
      <c r="G257" s="133">
        <v>159317.4</v>
      </c>
      <c r="H257" s="133">
        <v>60000</v>
      </c>
      <c r="I257" s="133">
        <v>52649.02177496</v>
      </c>
      <c r="J257" s="133">
        <v>0</v>
      </c>
      <c r="K257" s="133">
        <v>160000</v>
      </c>
      <c r="L257" s="133">
        <v>476774.17915</v>
      </c>
      <c r="M257" s="153">
        <v>0</v>
      </c>
      <c r="N257" s="133">
        <v>0</v>
      </c>
      <c r="O257" s="133">
        <f>(D257+E257+I257+K257+J257+L257)-'9b-Liab'!J284</f>
        <v>824048.1509249599</v>
      </c>
      <c r="P257" s="99">
        <v>0</v>
      </c>
      <c r="Q257" s="99">
        <v>35327.22221885</v>
      </c>
      <c r="R257" s="99">
        <v>0</v>
      </c>
      <c r="S257" s="99">
        <v>0</v>
      </c>
      <c r="T257" s="99">
        <v>16.3651359</v>
      </c>
      <c r="U257" s="99">
        <v>196120.18822761974</v>
      </c>
      <c r="V257" s="99">
        <v>0</v>
      </c>
      <c r="W257" s="99">
        <v>6505906.4041535985</v>
      </c>
      <c r="X257" s="145" t="s">
        <v>30</v>
      </c>
      <c r="AA257" s="232"/>
    </row>
    <row r="258" spans="1:27" s="230" customFormat="1" ht="12.75">
      <c r="A258" s="145" t="s">
        <v>31</v>
      </c>
      <c r="B258" s="156">
        <v>5173226</v>
      </c>
      <c r="C258" s="99">
        <f>SUM(D258:N258)</f>
        <v>1359742</v>
      </c>
      <c r="D258" s="133">
        <f>121296-E258</f>
        <v>110159</v>
      </c>
      <c r="E258" s="133">
        <v>11137</v>
      </c>
      <c r="F258" s="133">
        <v>280000</v>
      </c>
      <c r="G258" s="133">
        <v>159317</v>
      </c>
      <c r="H258" s="133">
        <v>60000</v>
      </c>
      <c r="I258" s="133">
        <v>70510</v>
      </c>
      <c r="J258" s="133">
        <v>0</v>
      </c>
      <c r="K258" s="133">
        <v>60000</v>
      </c>
      <c r="L258" s="133">
        <v>608619</v>
      </c>
      <c r="M258" s="153">
        <v>0</v>
      </c>
      <c r="N258" s="133">
        <v>0</v>
      </c>
      <c r="O258" s="133">
        <f>(D258+E258+I258+K258+J258+L258)-'9b-Liab'!J285</f>
        <v>860425</v>
      </c>
      <c r="P258" s="99">
        <v>0</v>
      </c>
      <c r="Q258" s="99">
        <v>35043</v>
      </c>
      <c r="R258" s="99">
        <v>0</v>
      </c>
      <c r="S258" s="99">
        <v>0</v>
      </c>
      <c r="T258" s="99">
        <v>20</v>
      </c>
      <c r="U258" s="99">
        <v>197090</v>
      </c>
      <c r="V258" s="99">
        <v>0</v>
      </c>
      <c r="W258" s="99">
        <v>6765122</v>
      </c>
      <c r="X258" s="145" t="s">
        <v>31</v>
      </c>
      <c r="AA258" s="232"/>
    </row>
    <row r="259" spans="1:27" s="230" customFormat="1" ht="12.75">
      <c r="A259" s="145" t="s">
        <v>32</v>
      </c>
      <c r="B259" s="156">
        <v>5189538</v>
      </c>
      <c r="C259" s="99">
        <f>SUM(D259:N259)</f>
        <v>1359041</v>
      </c>
      <c r="D259" s="133">
        <f>95182-E259</f>
        <v>83602</v>
      </c>
      <c r="E259" s="133">
        <v>11580</v>
      </c>
      <c r="F259" s="133">
        <v>280000</v>
      </c>
      <c r="G259" s="133">
        <v>159317</v>
      </c>
      <c r="H259" s="133">
        <v>60000</v>
      </c>
      <c r="I259" s="133">
        <v>95923</v>
      </c>
      <c r="J259" s="133">
        <v>0</v>
      </c>
      <c r="K259" s="133">
        <v>60000</v>
      </c>
      <c r="L259" s="133">
        <v>608619</v>
      </c>
      <c r="M259" s="153">
        <v>0</v>
      </c>
      <c r="N259" s="133">
        <v>0</v>
      </c>
      <c r="O259" s="133">
        <f>(D259+E259+I259+K259+J259+L259)-'9b-Liab'!J286</f>
        <v>859724</v>
      </c>
      <c r="P259" s="99">
        <v>0</v>
      </c>
      <c r="Q259" s="99">
        <v>34387</v>
      </c>
      <c r="R259" s="99">
        <v>0</v>
      </c>
      <c r="S259" s="99">
        <v>0</v>
      </c>
      <c r="T259" s="99">
        <v>20</v>
      </c>
      <c r="U259" s="99">
        <v>211804</v>
      </c>
      <c r="V259" s="99">
        <v>0</v>
      </c>
      <c r="W259" s="99">
        <v>6794790</v>
      </c>
      <c r="X259" s="145" t="s">
        <v>32</v>
      </c>
      <c r="AA259" s="232"/>
    </row>
    <row r="260" spans="1:27" s="230" customFormat="1" ht="12.75">
      <c r="A260" s="145" t="s">
        <v>33</v>
      </c>
      <c r="B260" s="156">
        <v>5308811</v>
      </c>
      <c r="C260" s="99">
        <f>SUM(D260:N260)</f>
        <v>1435552</v>
      </c>
      <c r="D260" s="133">
        <f>159703-E260</f>
        <v>148590</v>
      </c>
      <c r="E260" s="133">
        <v>11113</v>
      </c>
      <c r="F260" s="133">
        <v>280000</v>
      </c>
      <c r="G260" s="133">
        <v>159317</v>
      </c>
      <c r="H260" s="133">
        <v>60000</v>
      </c>
      <c r="I260" s="133">
        <v>107913</v>
      </c>
      <c r="J260" s="133">
        <v>0</v>
      </c>
      <c r="K260" s="133">
        <v>60000</v>
      </c>
      <c r="L260" s="133">
        <v>608619</v>
      </c>
      <c r="M260" s="153">
        <v>0</v>
      </c>
      <c r="N260" s="133">
        <v>0</v>
      </c>
      <c r="O260" s="133">
        <f>(D260+E260+I260+K260+J260+L260)-'9b-Liab'!J287</f>
        <v>936235</v>
      </c>
      <c r="P260" s="99">
        <v>0</v>
      </c>
      <c r="Q260" s="99">
        <v>32500</v>
      </c>
      <c r="R260" s="99">
        <v>0</v>
      </c>
      <c r="S260" s="99">
        <v>0</v>
      </c>
      <c r="T260" s="99">
        <v>20</v>
      </c>
      <c r="U260" s="99">
        <v>216361</v>
      </c>
      <c r="V260" s="99">
        <v>0</v>
      </c>
      <c r="W260" s="99">
        <v>6993249</v>
      </c>
      <c r="X260" s="145" t="s">
        <v>33</v>
      </c>
      <c r="AA260" s="232"/>
    </row>
    <row r="261" spans="1:27" s="230" customFormat="1" ht="12.75">
      <c r="A261" s="145" t="s">
        <v>35</v>
      </c>
      <c r="B261" s="156"/>
      <c r="C261" s="99">
        <f>SUM(D261:N261)</f>
        <v>0</v>
      </c>
      <c r="D261" s="133"/>
      <c r="E261" s="133"/>
      <c r="F261" s="133"/>
      <c r="G261" s="133"/>
      <c r="H261" s="133"/>
      <c r="I261" s="133"/>
      <c r="J261" s="133"/>
      <c r="K261" s="133"/>
      <c r="L261" s="133"/>
      <c r="M261" s="153"/>
      <c r="N261" s="133"/>
      <c r="O261" s="133">
        <f>(D261+E261+I261+K261+J261+L261)-'9b-Liab'!J288</f>
        <v>0</v>
      </c>
      <c r="P261" s="99"/>
      <c r="Q261" s="99"/>
      <c r="R261" s="99"/>
      <c r="S261" s="99"/>
      <c r="T261" s="99"/>
      <c r="U261" s="99"/>
      <c r="V261" s="99"/>
      <c r="W261" s="99"/>
      <c r="X261" s="145" t="s">
        <v>35</v>
      </c>
      <c r="AA261" s="232"/>
    </row>
    <row r="262" spans="1:27" s="230" customFormat="1" ht="12.75">
      <c r="A262" s="145"/>
      <c r="B262" s="156"/>
      <c r="C262" s="99"/>
      <c r="D262" s="133"/>
      <c r="E262" s="133"/>
      <c r="F262" s="133"/>
      <c r="G262" s="133"/>
      <c r="H262" s="133"/>
      <c r="I262" s="133"/>
      <c r="J262" s="133"/>
      <c r="K262" s="133"/>
      <c r="L262" s="133"/>
      <c r="M262" s="153"/>
      <c r="N262" s="133"/>
      <c r="O262" s="133"/>
      <c r="P262" s="99"/>
      <c r="Q262" s="99"/>
      <c r="R262" s="99"/>
      <c r="S262" s="99"/>
      <c r="T262" s="99"/>
      <c r="U262" s="99"/>
      <c r="V262" s="99"/>
      <c r="W262" s="99"/>
      <c r="X262" s="145"/>
      <c r="AA262" s="232"/>
    </row>
    <row r="263" spans="1:27" s="230" customFormat="1" ht="12.75">
      <c r="A263" s="145"/>
      <c r="B263" s="156"/>
      <c r="C263" s="99"/>
      <c r="D263" s="133"/>
      <c r="E263" s="133"/>
      <c r="F263" s="133"/>
      <c r="G263" s="133"/>
      <c r="H263" s="133"/>
      <c r="I263" s="133"/>
      <c r="J263" s="133"/>
      <c r="K263" s="133"/>
      <c r="L263" s="133"/>
      <c r="M263" s="153"/>
      <c r="N263" s="133"/>
      <c r="O263" s="133"/>
      <c r="P263" s="99"/>
      <c r="Q263" s="99"/>
      <c r="R263" s="99"/>
      <c r="S263" s="99"/>
      <c r="T263" s="99"/>
      <c r="U263" s="99"/>
      <c r="V263" s="99"/>
      <c r="W263" s="99"/>
      <c r="X263" s="145"/>
      <c r="AA263" s="232"/>
    </row>
    <row r="264" spans="1:27" s="230" customFormat="1" ht="12.75">
      <c r="A264" s="145"/>
      <c r="B264" s="156"/>
      <c r="C264" s="99"/>
      <c r="D264" s="133"/>
      <c r="E264" s="133"/>
      <c r="F264" s="133"/>
      <c r="G264" s="133"/>
      <c r="H264" s="133"/>
      <c r="I264" s="133"/>
      <c r="J264" s="133"/>
      <c r="K264" s="133"/>
      <c r="L264" s="133"/>
      <c r="M264" s="153"/>
      <c r="N264" s="133"/>
      <c r="O264" s="133"/>
      <c r="P264" s="99"/>
      <c r="Q264" s="99"/>
      <c r="R264" s="99"/>
      <c r="S264" s="99"/>
      <c r="T264" s="99"/>
      <c r="U264" s="99"/>
      <c r="V264" s="99"/>
      <c r="W264" s="99"/>
      <c r="X264" s="145"/>
      <c r="AA264" s="232"/>
    </row>
    <row r="265" spans="1:27" s="275" customFormat="1" ht="13.5">
      <c r="A265" s="270" t="s">
        <v>237</v>
      </c>
      <c r="B265" s="271" t="s">
        <v>239</v>
      </c>
      <c r="C265" s="272"/>
      <c r="D265" s="273"/>
      <c r="E265" s="273"/>
      <c r="F265" s="273"/>
      <c r="G265" s="273"/>
      <c r="H265" s="273"/>
      <c r="I265" s="273"/>
      <c r="J265" s="273"/>
      <c r="K265" s="273"/>
      <c r="L265" s="273"/>
      <c r="M265" s="274"/>
      <c r="N265" s="273"/>
      <c r="O265" s="273"/>
      <c r="P265" s="272"/>
      <c r="Q265" s="272"/>
      <c r="R265" s="272"/>
      <c r="S265" s="272"/>
      <c r="T265" s="272"/>
      <c r="U265" s="272"/>
      <c r="V265" s="272"/>
      <c r="W265" s="272"/>
      <c r="X265" s="270"/>
      <c r="AA265" s="276"/>
    </row>
    <row r="266" spans="1:20" ht="18.75">
      <c r="A266" s="281" t="s">
        <v>238</v>
      </c>
      <c r="B266" s="104" t="s">
        <v>253</v>
      </c>
      <c r="Q266" s="128"/>
      <c r="R266" s="128"/>
      <c r="S266" s="128"/>
      <c r="T266" s="128"/>
    </row>
    <row r="267" spans="5:22" ht="12.75" hidden="1"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Q267" s="128"/>
      <c r="R267" s="128"/>
      <c r="S267" s="128"/>
      <c r="T267" s="191"/>
      <c r="V267" s="128"/>
    </row>
    <row r="268" spans="1:24" ht="12.75">
      <c r="A268" s="109" t="s">
        <v>268</v>
      </c>
      <c r="B268" s="104" t="s">
        <v>266</v>
      </c>
      <c r="C268" s="156"/>
      <c r="D268" s="128"/>
      <c r="E268" s="128"/>
      <c r="F268" s="128"/>
      <c r="G268" s="128"/>
      <c r="H268" s="128"/>
      <c r="I268" s="106"/>
      <c r="J268" s="128"/>
      <c r="Q268" s="128"/>
      <c r="R268" s="128"/>
      <c r="S268" s="128"/>
      <c r="T268" s="128"/>
      <c r="U268" s="128"/>
      <c r="V268" s="128"/>
      <c r="W268" s="156"/>
      <c r="X268" s="154"/>
    </row>
    <row r="269" spans="3:22" ht="12.75">
      <c r="C269" s="156"/>
      <c r="D269" s="128"/>
      <c r="E269" s="128"/>
      <c r="F269" s="128"/>
      <c r="G269" s="128"/>
      <c r="H269" s="128"/>
      <c r="I269" s="128"/>
      <c r="J269" s="128"/>
      <c r="Q269" s="128"/>
      <c r="R269" s="128"/>
      <c r="S269" s="128"/>
      <c r="T269" s="128"/>
      <c r="V269" s="128"/>
    </row>
    <row r="270" spans="3:22" ht="12.75">
      <c r="C270" s="156"/>
      <c r="D270" s="128"/>
      <c r="F270" s="128"/>
      <c r="I270" s="248"/>
      <c r="J270" s="128"/>
      <c r="T270" s="106"/>
      <c r="V270" s="128"/>
    </row>
    <row r="271" spans="3:6" ht="12.75">
      <c r="C271" s="156"/>
      <c r="D271" s="128"/>
      <c r="F271" s="128"/>
    </row>
    <row r="272" spans="3:6" ht="12.75">
      <c r="C272" s="156"/>
      <c r="D272" s="128"/>
      <c r="F272" s="128"/>
    </row>
    <row r="273" spans="4:6" ht="12.75">
      <c r="D273" s="128"/>
      <c r="E273" s="128"/>
      <c r="F273" s="128"/>
    </row>
    <row r="274" spans="4:5" ht="12.75">
      <c r="D274" s="128"/>
      <c r="E274" s="128"/>
    </row>
    <row r="275" ht="12.75">
      <c r="E275" s="128"/>
    </row>
    <row r="276" ht="12.75">
      <c r="E276" s="128"/>
    </row>
  </sheetData>
  <sheetProtection/>
  <mergeCells count="3">
    <mergeCell ref="A1:X1"/>
    <mergeCell ref="A2:X2"/>
    <mergeCell ref="C3:M3"/>
  </mergeCells>
  <printOptions horizontalCentered="1"/>
  <pageMargins left="0.275590551181102" right="0.275590551181102" top="0.31496062992126" bottom="0.31496062992126" header="0.511811023622047" footer="0.196850393700787"/>
  <pageSetup fitToHeight="1" fitToWidth="1" horizontalDpi="600" verticalDpi="600" orientation="landscape" paperSize="9" scale="39" r:id="rId3"/>
  <headerFooter alignWithMargins="0">
    <oddFooter>&amp;L&amp;D&amp;R&amp;T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4"/>
  <sheetViews>
    <sheetView zoomScale="99" zoomScaleNormal="99" zoomScalePageLayoutView="0" workbookViewId="0" topLeftCell="A1">
      <pane ySplit="7" topLeftCell="A266" activePane="bottomLeft" state="frozen"/>
      <selection pane="topLeft" activeCell="G119" sqref="G119"/>
      <selection pane="bottomLeft" activeCell="M290" sqref="M290"/>
    </sheetView>
  </sheetViews>
  <sheetFormatPr defaultColWidth="9.33203125" defaultRowHeight="12.75"/>
  <cols>
    <col min="1" max="1" width="12.33203125" style="109" customWidth="1"/>
    <col min="2" max="2" width="15.16015625" style="104" customWidth="1"/>
    <col min="3" max="3" width="13.5" style="104" customWidth="1"/>
    <col min="4" max="4" width="16.5" style="104" customWidth="1"/>
    <col min="5" max="6" width="19.66015625" style="104" customWidth="1"/>
    <col min="7" max="7" width="15.83203125" style="104" customWidth="1"/>
    <col min="8" max="8" width="15.33203125" style="104" customWidth="1"/>
    <col min="9" max="9" width="16.5" style="128" customWidth="1"/>
    <col min="10" max="10" width="15" style="128" customWidth="1"/>
    <col min="11" max="11" width="20.33203125" style="126" customWidth="1"/>
    <col min="12" max="12" width="13.66015625" style="104" customWidth="1"/>
    <col min="13" max="13" width="15.66015625" style="104" customWidth="1"/>
    <col min="14" max="14" width="13" style="104" customWidth="1"/>
    <col min="15" max="15" width="14.66015625" style="126" customWidth="1"/>
    <col min="16" max="16" width="14.83203125" style="109" customWidth="1"/>
    <col min="17" max="16384" width="9.33203125" style="104" customWidth="1"/>
  </cols>
  <sheetData>
    <row r="1" spans="1:16" ht="20.25">
      <c r="A1" s="345" t="s">
        <v>122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</row>
    <row r="2" spans="1:16" ht="18.75">
      <c r="A2" s="353" t="s">
        <v>0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17" ht="13.5" thickBot="1">
      <c r="A3" s="130"/>
      <c r="B3" s="131"/>
      <c r="C3" s="131"/>
      <c r="D3" s="112"/>
      <c r="E3" s="112"/>
      <c r="F3" s="131"/>
      <c r="G3" s="131"/>
      <c r="H3" s="131"/>
      <c r="I3" s="284"/>
      <c r="J3" s="284"/>
      <c r="K3" s="163"/>
      <c r="L3" s="131"/>
      <c r="M3" s="131"/>
      <c r="N3" s="131"/>
      <c r="O3" s="163"/>
      <c r="P3" s="130"/>
      <c r="Q3" s="112"/>
    </row>
    <row r="4" spans="1:17" ht="13.5" thickBot="1">
      <c r="A4" s="111"/>
      <c r="B4" s="51" t="s">
        <v>173</v>
      </c>
      <c r="C4" s="135"/>
      <c r="D4" s="158"/>
      <c r="E4" s="159"/>
      <c r="F4" s="143"/>
      <c r="G4" s="143"/>
      <c r="H4" s="112"/>
      <c r="I4" s="285"/>
      <c r="J4" s="354" t="s">
        <v>182</v>
      </c>
      <c r="K4" s="355"/>
      <c r="L4" s="137"/>
      <c r="M4" s="143"/>
      <c r="N4" s="143"/>
      <c r="O4" s="125"/>
      <c r="P4" s="111"/>
      <c r="Q4" s="112"/>
    </row>
    <row r="5" spans="1:17" ht="12.75">
      <c r="A5" s="43" t="s">
        <v>40</v>
      </c>
      <c r="B5" s="39"/>
      <c r="C5" s="50" t="s">
        <v>42</v>
      </c>
      <c r="D5" s="95"/>
      <c r="E5" s="43" t="s">
        <v>103</v>
      </c>
      <c r="F5" s="50" t="s">
        <v>176</v>
      </c>
      <c r="G5" s="50" t="s">
        <v>8</v>
      </c>
      <c r="H5" s="43" t="s">
        <v>104</v>
      </c>
      <c r="I5" s="286" t="s">
        <v>105</v>
      </c>
      <c r="J5" s="287" t="s">
        <v>44</v>
      </c>
      <c r="K5" s="144" t="s">
        <v>11</v>
      </c>
      <c r="L5" s="95" t="s">
        <v>65</v>
      </c>
      <c r="M5" s="95" t="s">
        <v>66</v>
      </c>
      <c r="N5" s="95" t="s">
        <v>106</v>
      </c>
      <c r="O5" s="145" t="s">
        <v>3</v>
      </c>
      <c r="P5" s="6" t="s">
        <v>2</v>
      </c>
      <c r="Q5" s="112"/>
    </row>
    <row r="6" spans="1:17" ht="13.5" thickBot="1">
      <c r="A6" s="53" t="s">
        <v>12</v>
      </c>
      <c r="B6" s="55" t="s">
        <v>41</v>
      </c>
      <c r="C6" s="54" t="s">
        <v>107</v>
      </c>
      <c r="D6" s="121" t="s">
        <v>108</v>
      </c>
      <c r="E6" s="53" t="s">
        <v>109</v>
      </c>
      <c r="F6" s="54" t="s">
        <v>177</v>
      </c>
      <c r="G6" s="54" t="s">
        <v>18</v>
      </c>
      <c r="H6" s="53" t="s">
        <v>67</v>
      </c>
      <c r="I6" s="288" t="s">
        <v>110</v>
      </c>
      <c r="J6" s="289" t="s">
        <v>242</v>
      </c>
      <c r="K6" s="165" t="s">
        <v>245</v>
      </c>
      <c r="L6" s="121" t="s">
        <v>20</v>
      </c>
      <c r="M6" s="121" t="s">
        <v>67</v>
      </c>
      <c r="N6" s="121" t="s">
        <v>20</v>
      </c>
      <c r="O6" s="148" t="s">
        <v>111</v>
      </c>
      <c r="P6" s="53" t="s">
        <v>12</v>
      </c>
      <c r="Q6" s="112"/>
    </row>
    <row r="7" spans="1:17" ht="13.5" thickBot="1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/>
      <c r="G7" s="53">
        <v>6</v>
      </c>
      <c r="H7" s="53">
        <v>7</v>
      </c>
      <c r="I7" s="290">
        <v>8</v>
      </c>
      <c r="J7" s="290">
        <v>9</v>
      </c>
      <c r="K7" s="148"/>
      <c r="L7" s="53">
        <v>10</v>
      </c>
      <c r="M7" s="53">
        <v>11</v>
      </c>
      <c r="N7" s="53">
        <v>12</v>
      </c>
      <c r="O7" s="148">
        <v>13</v>
      </c>
      <c r="P7" s="53">
        <v>14</v>
      </c>
      <c r="Q7" s="6"/>
    </row>
    <row r="8" ht="12.75"/>
    <row r="9" spans="1:17" ht="12.75" hidden="1">
      <c r="A9" s="43">
        <v>1996</v>
      </c>
      <c r="B9" s="123">
        <v>43548</v>
      </c>
      <c r="C9" s="123">
        <v>38858</v>
      </c>
      <c r="D9" s="123">
        <f>B9-C9</f>
        <v>4690</v>
      </c>
      <c r="E9" s="123">
        <v>812</v>
      </c>
      <c r="F9" s="123"/>
      <c r="G9" s="123">
        <v>3</v>
      </c>
      <c r="H9" s="123">
        <v>304628</v>
      </c>
      <c r="I9" s="154">
        <v>19421</v>
      </c>
      <c r="J9" s="154">
        <v>2042</v>
      </c>
      <c r="K9" s="96"/>
      <c r="L9" s="123">
        <v>189791</v>
      </c>
      <c r="M9" s="123">
        <v>511</v>
      </c>
      <c r="N9" s="123">
        <v>68417</v>
      </c>
      <c r="O9" s="96">
        <v>629173</v>
      </c>
      <c r="P9" s="43">
        <v>1996</v>
      </c>
      <c r="Q9" s="128"/>
    </row>
    <row r="10" spans="1:17" ht="12.75" hidden="1">
      <c r="A10" s="43">
        <v>1997</v>
      </c>
      <c r="B10" s="123">
        <f>B32</f>
        <v>91009</v>
      </c>
      <c r="C10" s="123">
        <v>60983</v>
      </c>
      <c r="D10" s="123">
        <f>B10-C10</f>
        <v>30026</v>
      </c>
      <c r="E10" s="123">
        <v>5397</v>
      </c>
      <c r="F10" s="123"/>
      <c r="G10" s="123">
        <v>213</v>
      </c>
      <c r="H10" s="123">
        <v>329043</v>
      </c>
      <c r="I10" s="154">
        <v>22120</v>
      </c>
      <c r="J10" s="154">
        <v>4528</v>
      </c>
      <c r="K10" s="96"/>
      <c r="L10" s="123">
        <v>227860</v>
      </c>
      <c r="M10" s="123">
        <v>2059</v>
      </c>
      <c r="N10" s="123">
        <v>59877</v>
      </c>
      <c r="O10" s="96">
        <v>742106</v>
      </c>
      <c r="P10" s="43">
        <v>1997</v>
      </c>
      <c r="Q10" s="128"/>
    </row>
    <row r="11" spans="1:17" ht="12.75" hidden="1">
      <c r="A11" s="43">
        <v>1998</v>
      </c>
      <c r="B11" s="123">
        <v>72415</v>
      </c>
      <c r="C11" s="123">
        <v>65224</v>
      </c>
      <c r="D11" s="123">
        <f>B11-C11</f>
        <v>7191</v>
      </c>
      <c r="E11" s="123">
        <v>259</v>
      </c>
      <c r="F11" s="123"/>
      <c r="G11" s="123">
        <v>24</v>
      </c>
      <c r="H11" s="123">
        <v>484149</v>
      </c>
      <c r="I11" s="154">
        <v>31180</v>
      </c>
      <c r="J11" s="154">
        <v>-8298</v>
      </c>
      <c r="K11" s="96"/>
      <c r="L11" s="123">
        <v>152954</v>
      </c>
      <c r="M11" s="123">
        <v>1723</v>
      </c>
      <c r="N11" s="123">
        <v>109167</v>
      </c>
      <c r="O11" s="96">
        <v>843574</v>
      </c>
      <c r="P11" s="43">
        <v>1998</v>
      </c>
      <c r="Q11" s="128"/>
    </row>
    <row r="12" spans="1:17" ht="12.75" hidden="1">
      <c r="A12" s="43">
        <v>1999</v>
      </c>
      <c r="B12" s="123">
        <v>100627</v>
      </c>
      <c r="C12" s="123">
        <v>87852</v>
      </c>
      <c r="D12" s="123">
        <f>B12-C12</f>
        <v>12775</v>
      </c>
      <c r="E12" s="123">
        <v>1394</v>
      </c>
      <c r="F12" s="123"/>
      <c r="G12" s="123">
        <v>34</v>
      </c>
      <c r="H12" s="123">
        <v>654427</v>
      </c>
      <c r="I12" s="154">
        <v>44973</v>
      </c>
      <c r="J12" s="154">
        <v>2971</v>
      </c>
      <c r="K12" s="96"/>
      <c r="L12" s="123">
        <v>155728</v>
      </c>
      <c r="M12" s="123">
        <v>2492</v>
      </c>
      <c r="N12" s="123">
        <v>158107</v>
      </c>
      <c r="O12" s="96">
        <v>1120755</v>
      </c>
      <c r="P12" s="43">
        <v>1999</v>
      </c>
      <c r="Q12" s="128"/>
    </row>
    <row r="13" spans="1:16" ht="12.75" hidden="1">
      <c r="A13" s="43">
        <v>2000</v>
      </c>
      <c r="B13" s="123">
        <v>109843</v>
      </c>
      <c r="C13" s="123">
        <v>95854</v>
      </c>
      <c r="D13" s="123">
        <f>B13-C13</f>
        <v>13989</v>
      </c>
      <c r="E13" s="123">
        <v>4975</v>
      </c>
      <c r="F13" s="123"/>
      <c r="G13" s="123">
        <v>54</v>
      </c>
      <c r="H13" s="123">
        <v>581153</v>
      </c>
      <c r="I13" s="154">
        <v>32536</v>
      </c>
      <c r="J13" s="154">
        <v>2407</v>
      </c>
      <c r="K13" s="96"/>
      <c r="L13" s="123">
        <v>221936</v>
      </c>
      <c r="M13" s="123">
        <v>10300</v>
      </c>
      <c r="N13" s="123">
        <v>105381</v>
      </c>
      <c r="O13" s="96">
        <v>1070384</v>
      </c>
      <c r="P13" s="43">
        <v>2000</v>
      </c>
    </row>
    <row r="14" spans="1:16" ht="12.75" hidden="1">
      <c r="A14" s="43">
        <v>2001</v>
      </c>
      <c r="B14" s="123">
        <f>B78</f>
        <v>142103</v>
      </c>
      <c r="C14" s="123">
        <f aca="true" t="shared" si="0" ref="C14:O14">C78</f>
        <v>125938</v>
      </c>
      <c r="D14" s="123">
        <f t="shared" si="0"/>
        <v>16165</v>
      </c>
      <c r="E14" s="123">
        <f t="shared" si="0"/>
        <v>3363</v>
      </c>
      <c r="F14" s="123">
        <f t="shared" si="0"/>
        <v>0</v>
      </c>
      <c r="G14" s="123">
        <f t="shared" si="0"/>
        <v>31</v>
      </c>
      <c r="H14" s="123">
        <f t="shared" si="0"/>
        <v>615720</v>
      </c>
      <c r="I14" s="154">
        <f>I78</f>
        <v>43533</v>
      </c>
      <c r="J14" s="154">
        <f t="shared" si="0"/>
        <v>10240</v>
      </c>
      <c r="K14" s="123">
        <f t="shared" si="0"/>
        <v>0</v>
      </c>
      <c r="L14" s="123">
        <f t="shared" si="0"/>
        <v>261297</v>
      </c>
      <c r="M14" s="123">
        <f t="shared" si="0"/>
        <v>19511</v>
      </c>
      <c r="N14" s="123">
        <f t="shared" si="0"/>
        <v>107089</v>
      </c>
      <c r="O14" s="123">
        <f t="shared" si="0"/>
        <v>1202886</v>
      </c>
      <c r="P14" s="43">
        <v>2001</v>
      </c>
    </row>
    <row r="15" spans="1:17" ht="12.75" hidden="1">
      <c r="A15" s="43">
        <v>2002</v>
      </c>
      <c r="B15" s="123">
        <f>B92</f>
        <v>177441</v>
      </c>
      <c r="C15" s="123">
        <f>C92</f>
        <v>158593</v>
      </c>
      <c r="D15" s="123">
        <f aca="true" t="shared" si="1" ref="D15:O15">D92</f>
        <v>18848</v>
      </c>
      <c r="E15" s="123">
        <f t="shared" si="1"/>
        <v>4526</v>
      </c>
      <c r="F15" s="123">
        <f t="shared" si="1"/>
        <v>0</v>
      </c>
      <c r="G15" s="123">
        <f t="shared" si="1"/>
        <v>103</v>
      </c>
      <c r="H15" s="123">
        <f t="shared" si="1"/>
        <v>666650</v>
      </c>
      <c r="I15" s="154">
        <f t="shared" si="1"/>
        <v>42959</v>
      </c>
      <c r="J15" s="154">
        <f t="shared" si="1"/>
        <v>39379</v>
      </c>
      <c r="K15" s="123">
        <f t="shared" si="1"/>
        <v>0</v>
      </c>
      <c r="L15" s="123">
        <f t="shared" si="1"/>
        <v>260831</v>
      </c>
      <c r="M15" s="123">
        <f t="shared" si="1"/>
        <v>19811</v>
      </c>
      <c r="N15" s="123">
        <f t="shared" si="1"/>
        <v>121351</v>
      </c>
      <c r="O15" s="123">
        <f t="shared" si="1"/>
        <v>1333052</v>
      </c>
      <c r="P15" s="43">
        <v>2002</v>
      </c>
      <c r="Q15" s="112"/>
    </row>
    <row r="16" spans="1:17" ht="12.75" hidden="1">
      <c r="A16" s="43">
        <v>2003</v>
      </c>
      <c r="B16" s="123">
        <f>B106</f>
        <v>217217</v>
      </c>
      <c r="C16" s="123">
        <f aca="true" t="shared" si="2" ref="C16:O16">C106</f>
        <v>199588</v>
      </c>
      <c r="D16" s="123">
        <f t="shared" si="2"/>
        <v>17629</v>
      </c>
      <c r="E16" s="123">
        <f t="shared" si="2"/>
        <v>4628</v>
      </c>
      <c r="F16" s="123">
        <f t="shared" si="2"/>
        <v>0</v>
      </c>
      <c r="G16" s="123">
        <f t="shared" si="2"/>
        <v>94</v>
      </c>
      <c r="H16" s="123">
        <f t="shared" si="2"/>
        <v>755301</v>
      </c>
      <c r="I16" s="154">
        <f t="shared" si="2"/>
        <v>51239</v>
      </c>
      <c r="J16" s="154">
        <f t="shared" si="2"/>
        <v>11354</v>
      </c>
      <c r="K16" s="123">
        <f t="shared" si="2"/>
        <v>0</v>
      </c>
      <c r="L16" s="123">
        <f t="shared" si="2"/>
        <v>225266</v>
      </c>
      <c r="M16" s="123">
        <f t="shared" si="2"/>
        <v>48059</v>
      </c>
      <c r="N16" s="123">
        <f t="shared" si="2"/>
        <v>0</v>
      </c>
      <c r="O16" s="123">
        <f t="shared" si="2"/>
        <v>1313158</v>
      </c>
      <c r="P16" s="43">
        <v>2003</v>
      </c>
      <c r="Q16" s="112"/>
    </row>
    <row r="17" spans="1:17" ht="12.75" customHeight="1" hidden="1">
      <c r="A17" s="43">
        <v>2004</v>
      </c>
      <c r="B17" s="124">
        <f>B120</f>
        <v>244622</v>
      </c>
      <c r="C17" s="124">
        <f aca="true" t="shared" si="3" ref="C17:O17">C120</f>
        <v>221425</v>
      </c>
      <c r="D17" s="124">
        <f t="shared" si="3"/>
        <v>23198</v>
      </c>
      <c r="E17" s="124">
        <f t="shared" si="3"/>
        <v>2910</v>
      </c>
      <c r="F17" s="124">
        <f t="shared" si="3"/>
        <v>0</v>
      </c>
      <c r="G17" s="124">
        <f t="shared" si="3"/>
        <v>182</v>
      </c>
      <c r="H17" s="124">
        <f t="shared" si="3"/>
        <v>963653</v>
      </c>
      <c r="I17" s="191">
        <f t="shared" si="3"/>
        <v>57205</v>
      </c>
      <c r="J17" s="191">
        <f t="shared" si="3"/>
        <v>36209</v>
      </c>
      <c r="K17" s="124">
        <f t="shared" si="3"/>
        <v>0</v>
      </c>
      <c r="L17" s="124">
        <f t="shared" si="3"/>
        <v>165663</v>
      </c>
      <c r="M17" s="124">
        <f t="shared" si="3"/>
        <v>56013</v>
      </c>
      <c r="N17" s="124">
        <f t="shared" si="3"/>
        <v>0</v>
      </c>
      <c r="O17" s="124">
        <f t="shared" si="3"/>
        <v>1526458</v>
      </c>
      <c r="P17" s="43">
        <v>2004</v>
      </c>
      <c r="Q17" s="112"/>
    </row>
    <row r="18" spans="1:17" ht="12.75" hidden="1">
      <c r="A18" s="43">
        <v>2005</v>
      </c>
      <c r="B18" s="123">
        <f>B135</f>
        <v>304003</v>
      </c>
      <c r="C18" s="123">
        <f aca="true" t="shared" si="4" ref="C18:O18">C135</f>
        <v>255078</v>
      </c>
      <c r="D18" s="123">
        <f t="shared" si="4"/>
        <v>48925</v>
      </c>
      <c r="E18" s="123">
        <f t="shared" si="4"/>
        <v>4305</v>
      </c>
      <c r="F18" s="123">
        <f t="shared" si="4"/>
        <v>0</v>
      </c>
      <c r="G18" s="123">
        <f t="shared" si="4"/>
        <v>248</v>
      </c>
      <c r="H18" s="123">
        <f t="shared" si="4"/>
        <v>1010214</v>
      </c>
      <c r="I18" s="154">
        <f t="shared" si="4"/>
        <v>24678</v>
      </c>
      <c r="J18" s="154">
        <f t="shared" si="4"/>
        <v>73049</v>
      </c>
      <c r="K18" s="123">
        <f t="shared" si="4"/>
        <v>0</v>
      </c>
      <c r="L18" s="123">
        <f t="shared" si="4"/>
        <v>135865</v>
      </c>
      <c r="M18" s="123">
        <f t="shared" si="4"/>
        <v>45030</v>
      </c>
      <c r="N18" s="123">
        <f t="shared" si="4"/>
        <v>0</v>
      </c>
      <c r="O18" s="123">
        <f t="shared" si="4"/>
        <v>1597575</v>
      </c>
      <c r="P18" s="43">
        <v>2005</v>
      </c>
      <c r="Q18" s="112"/>
    </row>
    <row r="19" spans="1:17" ht="12.75">
      <c r="A19" s="43">
        <v>2006</v>
      </c>
      <c r="B19" s="124">
        <f>B149</f>
        <v>336335</v>
      </c>
      <c r="C19" s="124">
        <f aca="true" t="shared" si="5" ref="C19:O19">C149</f>
        <v>294682</v>
      </c>
      <c r="D19" s="124">
        <f t="shared" si="5"/>
        <v>41652</v>
      </c>
      <c r="E19" s="124">
        <f t="shared" si="5"/>
        <v>3908</v>
      </c>
      <c r="F19" s="124">
        <f t="shared" si="5"/>
        <v>0</v>
      </c>
      <c r="G19" s="124">
        <f t="shared" si="5"/>
        <v>161</v>
      </c>
      <c r="H19" s="124">
        <f t="shared" si="5"/>
        <v>452628</v>
      </c>
      <c r="I19" s="191">
        <f t="shared" si="5"/>
        <v>25026</v>
      </c>
      <c r="J19" s="191">
        <f t="shared" si="5"/>
        <v>13281</v>
      </c>
      <c r="K19" s="124">
        <f t="shared" si="5"/>
        <v>48392</v>
      </c>
      <c r="L19" s="124">
        <f t="shared" si="5"/>
        <v>330131</v>
      </c>
      <c r="M19" s="124">
        <f t="shared" si="5"/>
        <v>42877</v>
      </c>
      <c r="N19" s="124">
        <f t="shared" si="5"/>
        <v>0</v>
      </c>
      <c r="O19" s="124">
        <f t="shared" si="5"/>
        <v>1777730</v>
      </c>
      <c r="P19" s="8">
        <v>2006</v>
      </c>
      <c r="Q19" s="112"/>
    </row>
    <row r="20" spans="1:18" ht="15" customHeight="1">
      <c r="A20" s="6">
        <v>2007</v>
      </c>
      <c r="B20" s="123">
        <f>B163</f>
        <v>423758.43371446006</v>
      </c>
      <c r="C20" s="123">
        <f aca="true" t="shared" si="6" ref="C20:O20">C163</f>
        <v>350165.20707817003</v>
      </c>
      <c r="D20" s="123">
        <f t="shared" si="6"/>
        <v>73593.22663629003</v>
      </c>
      <c r="E20" s="123">
        <f t="shared" si="6"/>
        <v>6844.54924112</v>
      </c>
      <c r="F20" s="123">
        <f t="shared" si="6"/>
        <v>0</v>
      </c>
      <c r="G20" s="123">
        <f t="shared" si="6"/>
        <v>136.86559793000004</v>
      </c>
      <c r="H20" s="123">
        <f t="shared" si="6"/>
        <v>582379.98927688</v>
      </c>
      <c r="I20" s="154">
        <f t="shared" si="6"/>
        <v>25056.92767797</v>
      </c>
      <c r="J20" s="154">
        <f t="shared" si="6"/>
        <v>63293.21626166</v>
      </c>
      <c r="K20" s="123">
        <f t="shared" si="6"/>
        <v>50045.3056</v>
      </c>
      <c r="L20" s="123">
        <f t="shared" si="6"/>
        <v>229781.27798978</v>
      </c>
      <c r="M20" s="123">
        <f t="shared" si="6"/>
        <v>44599.98872788001</v>
      </c>
      <c r="N20" s="123">
        <f t="shared" si="6"/>
        <v>0</v>
      </c>
      <c r="O20" s="123">
        <f t="shared" si="6"/>
        <v>1911937.4058632802</v>
      </c>
      <c r="P20" s="6">
        <v>2007</v>
      </c>
      <c r="Q20" s="112"/>
      <c r="R20" s="106"/>
    </row>
    <row r="21" spans="1:18" ht="15" customHeight="1">
      <c r="A21" s="6">
        <v>2008</v>
      </c>
      <c r="B21" s="123">
        <f>B177</f>
        <v>472040.07248522</v>
      </c>
      <c r="C21" s="123">
        <f aca="true" t="shared" si="7" ref="C21:O21">C177</f>
        <v>383298.7238463</v>
      </c>
      <c r="D21" s="123">
        <f t="shared" si="7"/>
        <v>83502.5211478</v>
      </c>
      <c r="E21" s="123">
        <f t="shared" si="7"/>
        <v>5238.82749112</v>
      </c>
      <c r="F21" s="123">
        <f t="shared" si="7"/>
        <v>0</v>
      </c>
      <c r="G21" s="123">
        <f t="shared" si="7"/>
        <v>1508.8702988</v>
      </c>
      <c r="H21" s="123">
        <f t="shared" si="7"/>
        <v>668804.5532872301</v>
      </c>
      <c r="I21" s="154">
        <f t="shared" si="7"/>
        <v>25600.88430232</v>
      </c>
      <c r="J21" s="154">
        <f t="shared" si="7"/>
        <v>14475.960073740007</v>
      </c>
      <c r="K21" s="123">
        <f t="shared" si="7"/>
        <v>97640.2</v>
      </c>
      <c r="L21" s="123">
        <f t="shared" si="7"/>
        <v>169623.94301943004</v>
      </c>
      <c r="M21" s="123">
        <f t="shared" si="7"/>
        <v>45033.595152450005</v>
      </c>
      <c r="N21" s="123">
        <f t="shared" si="7"/>
        <v>0</v>
      </c>
      <c r="O21" s="123">
        <f t="shared" si="7"/>
        <v>1859893.5068479602</v>
      </c>
      <c r="P21" s="6">
        <v>2008</v>
      </c>
      <c r="Q21" s="112"/>
      <c r="R21" s="106"/>
    </row>
    <row r="22" spans="1:18" ht="15" customHeight="1">
      <c r="A22" s="6">
        <v>2009</v>
      </c>
      <c r="B22" s="123">
        <f>B191</f>
        <v>565271.84312389</v>
      </c>
      <c r="C22" s="123">
        <f aca="true" t="shared" si="8" ref="C22:O22">C191</f>
        <v>486437.84312389005</v>
      </c>
      <c r="D22" s="123">
        <f t="shared" si="8"/>
        <v>76595</v>
      </c>
      <c r="E22" s="123">
        <f t="shared" si="8"/>
        <v>2239</v>
      </c>
      <c r="F22" s="123">
        <f t="shared" si="8"/>
        <v>0</v>
      </c>
      <c r="G22" s="123">
        <f t="shared" si="8"/>
        <v>1157.84212576</v>
      </c>
      <c r="H22" s="123">
        <f t="shared" si="8"/>
        <v>794866.5344525101</v>
      </c>
      <c r="I22" s="154">
        <f t="shared" si="8"/>
        <v>32446.20478622</v>
      </c>
      <c r="J22" s="154">
        <f t="shared" si="8"/>
        <v>22348.40690920001</v>
      </c>
      <c r="K22" s="123">
        <f t="shared" si="8"/>
        <v>128475.206475</v>
      </c>
      <c r="L22" s="123">
        <f t="shared" si="8"/>
        <v>901895.2627950299</v>
      </c>
      <c r="M22" s="123">
        <f t="shared" si="8"/>
        <v>57293.17823343</v>
      </c>
      <c r="N22" s="123">
        <f t="shared" si="8"/>
        <v>0</v>
      </c>
      <c r="O22" s="123">
        <f t="shared" si="8"/>
        <v>2821337.31200035</v>
      </c>
      <c r="P22" s="6">
        <v>2009</v>
      </c>
      <c r="Q22" s="112"/>
      <c r="R22" s="106"/>
    </row>
    <row r="23" spans="1:18" ht="15" customHeight="1">
      <c r="A23" s="6">
        <v>2010</v>
      </c>
      <c r="B23" s="123">
        <f>B205</f>
        <v>760897</v>
      </c>
      <c r="C23" s="123">
        <f aca="true" t="shared" si="9" ref="C23:O23">C205</f>
        <v>631512</v>
      </c>
      <c r="D23" s="123">
        <f t="shared" si="9"/>
        <v>127333</v>
      </c>
      <c r="E23" s="123">
        <f t="shared" si="9"/>
        <v>2052</v>
      </c>
      <c r="F23" s="123">
        <f t="shared" si="9"/>
        <v>0</v>
      </c>
      <c r="G23" s="123">
        <f t="shared" si="9"/>
        <v>881</v>
      </c>
      <c r="H23" s="123">
        <f t="shared" si="9"/>
        <v>1112407</v>
      </c>
      <c r="I23" s="154">
        <f t="shared" si="9"/>
        <v>35327</v>
      </c>
      <c r="J23" s="154">
        <f t="shared" si="9"/>
        <v>17600.77686954</v>
      </c>
      <c r="K23" s="123">
        <f t="shared" si="9"/>
        <v>199610</v>
      </c>
      <c r="L23" s="123">
        <f t="shared" si="9"/>
        <v>872726</v>
      </c>
      <c r="M23" s="123">
        <f t="shared" si="9"/>
        <v>75103</v>
      </c>
      <c r="N23" s="123">
        <f t="shared" si="9"/>
        <v>0</v>
      </c>
      <c r="O23" s="123">
        <f t="shared" si="9"/>
        <v>3187192</v>
      </c>
      <c r="P23" s="6">
        <v>2010</v>
      </c>
      <c r="Q23" s="112"/>
      <c r="R23" s="106"/>
    </row>
    <row r="24" spans="1:18" ht="15" customHeight="1">
      <c r="A24" s="6">
        <v>2011</v>
      </c>
      <c r="B24" s="123">
        <f>B220</f>
        <v>859604.43774595</v>
      </c>
      <c r="C24" s="123">
        <f aca="true" t="shared" si="10" ref="C24:O24">C220</f>
        <v>707501.43774595</v>
      </c>
      <c r="D24" s="123">
        <f t="shared" si="10"/>
        <v>150062</v>
      </c>
      <c r="E24" s="123">
        <f t="shared" si="10"/>
        <v>2041</v>
      </c>
      <c r="F24" s="123">
        <f t="shared" si="10"/>
        <v>0</v>
      </c>
      <c r="G24" s="123">
        <f t="shared" si="10"/>
        <v>814</v>
      </c>
      <c r="H24" s="123">
        <f t="shared" si="10"/>
        <v>1273340</v>
      </c>
      <c r="I24" s="154">
        <f t="shared" si="10"/>
        <v>36839.17626844</v>
      </c>
      <c r="J24" s="154">
        <f t="shared" si="10"/>
        <v>15211</v>
      </c>
      <c r="K24" s="123">
        <f t="shared" si="10"/>
        <v>118219</v>
      </c>
      <c r="L24" s="123">
        <f t="shared" si="10"/>
        <v>813815</v>
      </c>
      <c r="M24" s="123">
        <f t="shared" si="10"/>
        <v>79299</v>
      </c>
      <c r="N24" s="123">
        <f t="shared" si="10"/>
        <v>0</v>
      </c>
      <c r="O24" s="123">
        <f t="shared" si="10"/>
        <v>3079434</v>
      </c>
      <c r="P24" s="6">
        <v>2011</v>
      </c>
      <c r="Q24" s="112"/>
      <c r="R24" s="106"/>
    </row>
    <row r="25" spans="1:16" s="170" customFormat="1" ht="12.75">
      <c r="A25" s="6">
        <v>2012</v>
      </c>
      <c r="B25" s="96">
        <f>B234</f>
        <v>1018926.10345523</v>
      </c>
      <c r="C25" s="96">
        <f aca="true" t="shared" si="11" ref="C25:O25">C234</f>
        <v>902941.10345523</v>
      </c>
      <c r="D25" s="96">
        <f t="shared" si="11"/>
        <v>114080</v>
      </c>
      <c r="E25" s="96">
        <f t="shared" si="11"/>
        <v>1905</v>
      </c>
      <c r="F25" s="96">
        <f t="shared" si="11"/>
        <v>0</v>
      </c>
      <c r="G25" s="96">
        <f t="shared" si="11"/>
        <v>623.8088418599999</v>
      </c>
      <c r="H25" s="96">
        <f t="shared" si="11"/>
        <v>1224337.3632892203</v>
      </c>
      <c r="I25" s="192">
        <f t="shared" si="11"/>
        <v>36472.274832459996</v>
      </c>
      <c r="J25" s="192">
        <f t="shared" si="11"/>
        <v>24595.7351976</v>
      </c>
      <c r="K25" s="96">
        <f t="shared" si="11"/>
        <v>0</v>
      </c>
      <c r="L25" s="96">
        <f t="shared" si="11"/>
        <v>829634.76436246</v>
      </c>
      <c r="M25" s="96">
        <f t="shared" si="11"/>
        <v>67935.25807161</v>
      </c>
      <c r="N25" s="96">
        <f t="shared" si="11"/>
        <v>0</v>
      </c>
      <c r="O25" s="96">
        <f t="shared" si="11"/>
        <v>3203035.0255500404</v>
      </c>
      <c r="P25" s="6">
        <v>2012</v>
      </c>
    </row>
    <row r="26" spans="1:18" ht="15" customHeight="1">
      <c r="A26" s="6">
        <v>2013</v>
      </c>
      <c r="B26" s="123">
        <v>1197936</v>
      </c>
      <c r="C26" s="123">
        <v>907433</v>
      </c>
      <c r="D26" s="123">
        <v>288528</v>
      </c>
      <c r="E26" s="123">
        <v>1975</v>
      </c>
      <c r="F26" s="123">
        <v>0</v>
      </c>
      <c r="G26" s="123">
        <v>2768</v>
      </c>
      <c r="H26" s="123">
        <v>1254392</v>
      </c>
      <c r="I26" s="154">
        <v>36660</v>
      </c>
      <c r="J26" s="154">
        <v>29311</v>
      </c>
      <c r="K26" s="123">
        <v>81090</v>
      </c>
      <c r="L26" s="123">
        <v>831636</v>
      </c>
      <c r="M26" s="123">
        <v>71042</v>
      </c>
      <c r="N26" s="123">
        <v>0</v>
      </c>
      <c r="O26" s="123">
        <v>3424255</v>
      </c>
      <c r="P26" s="6">
        <v>2013</v>
      </c>
      <c r="Q26" s="112"/>
      <c r="R26" s="106"/>
    </row>
    <row r="27" spans="1:18" ht="15" customHeight="1">
      <c r="A27" s="6"/>
      <c r="B27" s="123"/>
      <c r="C27" s="123"/>
      <c r="D27" s="123"/>
      <c r="E27" s="123"/>
      <c r="F27" s="123"/>
      <c r="G27" s="123"/>
      <c r="H27" s="123"/>
      <c r="I27" s="154"/>
      <c r="J27" s="154"/>
      <c r="K27" s="96"/>
      <c r="L27" s="123"/>
      <c r="M27" s="123"/>
      <c r="N27" s="123"/>
      <c r="O27" s="96"/>
      <c r="P27" s="6"/>
      <c r="Q27" s="112"/>
      <c r="R27" s="106"/>
    </row>
    <row r="28" spans="1:17" ht="12.75" customHeight="1" hidden="1">
      <c r="A28" s="43">
        <v>1997</v>
      </c>
      <c r="B28" s="123"/>
      <c r="C28" s="123"/>
      <c r="D28" s="123"/>
      <c r="E28" s="123"/>
      <c r="F28" s="123"/>
      <c r="G28" s="123"/>
      <c r="H28" s="123"/>
      <c r="I28" s="154"/>
      <c r="J28" s="154"/>
      <c r="K28" s="96"/>
      <c r="L28" s="123"/>
      <c r="M28" s="123"/>
      <c r="N28" s="123"/>
      <c r="O28" s="96"/>
      <c r="P28" s="43"/>
      <c r="Q28" s="128"/>
    </row>
    <row r="29" spans="1:17" ht="12.75" customHeight="1" hidden="1">
      <c r="A29" s="43" t="s">
        <v>27</v>
      </c>
      <c r="B29" s="123">
        <v>44234</v>
      </c>
      <c r="C29" s="123">
        <v>41056</v>
      </c>
      <c r="D29" s="123"/>
      <c r="E29" s="123">
        <v>355</v>
      </c>
      <c r="F29" s="123"/>
      <c r="G29" s="123">
        <v>3</v>
      </c>
      <c r="H29" s="123">
        <v>251290</v>
      </c>
      <c r="I29" s="154">
        <v>17073</v>
      </c>
      <c r="J29" s="154">
        <v>2498</v>
      </c>
      <c r="K29" s="96"/>
      <c r="L29" s="123">
        <v>232043</v>
      </c>
      <c r="M29" s="123">
        <v>397</v>
      </c>
      <c r="N29" s="123">
        <v>67351</v>
      </c>
      <c r="O29" s="96"/>
      <c r="P29" s="43" t="s">
        <v>27</v>
      </c>
      <c r="Q29" s="128"/>
    </row>
    <row r="30" spans="1:17" ht="12.75" customHeight="1" hidden="1">
      <c r="A30" s="43" t="s">
        <v>30</v>
      </c>
      <c r="B30" s="123">
        <v>57856</v>
      </c>
      <c r="C30" s="123">
        <v>42053</v>
      </c>
      <c r="D30" s="123"/>
      <c r="E30" s="123">
        <v>1372</v>
      </c>
      <c r="F30" s="123"/>
      <c r="G30" s="123">
        <v>194</v>
      </c>
      <c r="H30" s="123">
        <v>244480</v>
      </c>
      <c r="I30" s="154">
        <v>16506</v>
      </c>
      <c r="J30" s="154">
        <v>4978</v>
      </c>
      <c r="K30" s="96"/>
      <c r="L30" s="123">
        <v>247004</v>
      </c>
      <c r="M30" s="123">
        <v>1077</v>
      </c>
      <c r="N30" s="123">
        <v>64827</v>
      </c>
      <c r="O30" s="96"/>
      <c r="P30" s="43" t="s">
        <v>30</v>
      </c>
      <c r="Q30" s="128"/>
    </row>
    <row r="31" spans="1:17" ht="12.75" customHeight="1" hidden="1">
      <c r="A31" s="43" t="s">
        <v>33</v>
      </c>
      <c r="B31" s="123">
        <v>74188</v>
      </c>
      <c r="C31" s="123">
        <v>48161</v>
      </c>
      <c r="D31" s="123"/>
      <c r="E31" s="123">
        <v>4759</v>
      </c>
      <c r="F31" s="123"/>
      <c r="G31" s="123">
        <v>186</v>
      </c>
      <c r="H31" s="123">
        <v>299244</v>
      </c>
      <c r="I31" s="154">
        <v>19820</v>
      </c>
      <c r="J31" s="154">
        <v>4636</v>
      </c>
      <c r="K31" s="96"/>
      <c r="L31" s="123">
        <v>233777</v>
      </c>
      <c r="M31" s="123">
        <v>1117</v>
      </c>
      <c r="N31" s="123">
        <v>59877</v>
      </c>
      <c r="O31" s="96"/>
      <c r="P31" s="43" t="s">
        <v>33</v>
      </c>
      <c r="Q31" s="128"/>
    </row>
    <row r="32" spans="1:17" ht="12.75" customHeight="1" hidden="1">
      <c r="A32" s="43" t="s">
        <v>37</v>
      </c>
      <c r="B32" s="123">
        <v>91009</v>
      </c>
      <c r="C32" s="123">
        <v>60983</v>
      </c>
      <c r="D32" s="123"/>
      <c r="E32" s="123">
        <v>5397</v>
      </c>
      <c r="F32" s="123"/>
      <c r="G32" s="123">
        <v>213</v>
      </c>
      <c r="H32" s="123">
        <v>329043</v>
      </c>
      <c r="I32" s="154">
        <v>22120</v>
      </c>
      <c r="J32" s="154">
        <v>4528</v>
      </c>
      <c r="K32" s="96"/>
      <c r="L32" s="123">
        <v>227860</v>
      </c>
      <c r="M32" s="123">
        <v>2059</v>
      </c>
      <c r="N32" s="123">
        <v>59877</v>
      </c>
      <c r="O32" s="96"/>
      <c r="P32" s="43" t="s">
        <v>37</v>
      </c>
      <c r="Q32" s="128"/>
    </row>
    <row r="33" spans="1:16" ht="12.75" customHeight="1" hidden="1">
      <c r="A33" s="43"/>
      <c r="B33" s="123"/>
      <c r="C33" s="123"/>
      <c r="D33" s="123"/>
      <c r="E33" s="123"/>
      <c r="F33" s="123"/>
      <c r="G33" s="123"/>
      <c r="H33" s="123"/>
      <c r="I33" s="154"/>
      <c r="J33" s="154"/>
      <c r="K33" s="96"/>
      <c r="L33" s="123"/>
      <c r="M33" s="123"/>
      <c r="N33" s="123"/>
      <c r="O33" s="96"/>
      <c r="P33" s="43"/>
    </row>
    <row r="34" spans="1:16" ht="12.75" customHeight="1" hidden="1">
      <c r="A34" s="43">
        <v>1998</v>
      </c>
      <c r="B34" s="123"/>
      <c r="C34" s="123"/>
      <c r="D34" s="123"/>
      <c r="E34" s="123"/>
      <c r="F34" s="123"/>
      <c r="G34" s="123"/>
      <c r="H34" s="123"/>
      <c r="I34" s="154"/>
      <c r="J34" s="154"/>
      <c r="K34" s="96"/>
      <c r="L34" s="123"/>
      <c r="M34" s="123"/>
      <c r="N34" s="123"/>
      <c r="O34" s="96"/>
      <c r="P34" s="43">
        <v>1998</v>
      </c>
    </row>
    <row r="35" spans="1:17" ht="12.75" customHeight="1" hidden="1">
      <c r="A35" s="43" t="s">
        <v>27</v>
      </c>
      <c r="B35" s="123">
        <v>102976</v>
      </c>
      <c r="C35" s="123">
        <v>72269</v>
      </c>
      <c r="D35" s="123"/>
      <c r="E35" s="123">
        <v>6878</v>
      </c>
      <c r="F35" s="123"/>
      <c r="G35" s="123">
        <v>321</v>
      </c>
      <c r="H35" s="123">
        <v>366908</v>
      </c>
      <c r="I35" s="154">
        <v>24755</v>
      </c>
      <c r="J35" s="154">
        <v>2623</v>
      </c>
      <c r="K35" s="96"/>
      <c r="L35" s="123">
        <v>220160</v>
      </c>
      <c r="M35" s="123">
        <v>2095</v>
      </c>
      <c r="N35" s="123">
        <v>59877</v>
      </c>
      <c r="O35" s="96"/>
      <c r="P35" s="43" t="s">
        <v>27</v>
      </c>
      <c r="Q35" s="128"/>
    </row>
    <row r="36" spans="1:17" ht="12.75" customHeight="1" hidden="1">
      <c r="A36" s="43" t="s">
        <v>30</v>
      </c>
      <c r="B36" s="123">
        <v>77787</v>
      </c>
      <c r="C36" s="123">
        <v>59895</v>
      </c>
      <c r="D36" s="123"/>
      <c r="E36" s="123">
        <v>724</v>
      </c>
      <c r="F36" s="123"/>
      <c r="G36" s="123">
        <v>21</v>
      </c>
      <c r="H36" s="123">
        <v>421854</v>
      </c>
      <c r="I36" s="154">
        <v>24149</v>
      </c>
      <c r="J36" s="154">
        <v>3703</v>
      </c>
      <c r="K36" s="96"/>
      <c r="L36" s="123">
        <v>161925</v>
      </c>
      <c r="M36" s="123">
        <v>1377</v>
      </c>
      <c r="N36" s="123">
        <v>80402</v>
      </c>
      <c r="O36" s="96"/>
      <c r="P36" s="43" t="s">
        <v>30</v>
      </c>
      <c r="Q36" s="128"/>
    </row>
    <row r="37" spans="1:17" ht="12.75" customHeight="1" hidden="1">
      <c r="A37" s="43" t="s">
        <v>33</v>
      </c>
      <c r="B37" s="123">
        <v>64798</v>
      </c>
      <c r="C37" s="123">
        <v>53419</v>
      </c>
      <c r="D37" s="123"/>
      <c r="E37" s="123">
        <v>374</v>
      </c>
      <c r="F37" s="123"/>
      <c r="G37" s="123">
        <v>27</v>
      </c>
      <c r="H37" s="123">
        <v>423924</v>
      </c>
      <c r="I37" s="154">
        <v>31340</v>
      </c>
      <c r="J37" s="154">
        <v>3799</v>
      </c>
      <c r="K37" s="96"/>
      <c r="L37" s="123">
        <v>174809</v>
      </c>
      <c r="M37" s="123">
        <v>1474</v>
      </c>
      <c r="N37" s="123">
        <v>99665</v>
      </c>
      <c r="O37" s="96"/>
      <c r="P37" s="43" t="s">
        <v>33</v>
      </c>
      <c r="Q37" s="128"/>
    </row>
    <row r="38" spans="1:17" ht="12.75" customHeight="1" hidden="1">
      <c r="A38" s="43" t="s">
        <v>37</v>
      </c>
      <c r="B38" s="123">
        <v>72415</v>
      </c>
      <c r="C38" s="123">
        <v>65224</v>
      </c>
      <c r="D38" s="123"/>
      <c r="E38" s="123">
        <v>259</v>
      </c>
      <c r="F38" s="123"/>
      <c r="G38" s="123">
        <v>24</v>
      </c>
      <c r="H38" s="123">
        <v>484149</v>
      </c>
      <c r="I38" s="154">
        <v>31180</v>
      </c>
      <c r="J38" s="154">
        <v>-8298</v>
      </c>
      <c r="K38" s="96"/>
      <c r="L38" s="123">
        <v>152954</v>
      </c>
      <c r="M38" s="123">
        <v>1723</v>
      </c>
      <c r="N38" s="123">
        <v>109167</v>
      </c>
      <c r="O38" s="96"/>
      <c r="P38" s="43" t="s">
        <v>37</v>
      </c>
      <c r="Q38" s="128"/>
    </row>
    <row r="39" spans="1:16" ht="12.75" hidden="1">
      <c r="A39" s="43"/>
      <c r="B39" s="123"/>
      <c r="C39" s="123"/>
      <c r="D39" s="123"/>
      <c r="E39" s="123"/>
      <c r="F39" s="123"/>
      <c r="G39" s="123"/>
      <c r="H39" s="123"/>
      <c r="I39" s="154"/>
      <c r="J39" s="154"/>
      <c r="K39" s="96"/>
      <c r="L39" s="123"/>
      <c r="M39" s="123"/>
      <c r="N39" s="123"/>
      <c r="O39" s="96"/>
      <c r="P39" s="43"/>
    </row>
    <row r="40" spans="1:16" ht="12.75" hidden="1">
      <c r="A40" s="43">
        <v>1999</v>
      </c>
      <c r="B40" s="123"/>
      <c r="C40" s="123"/>
      <c r="D40" s="123"/>
      <c r="E40" s="123"/>
      <c r="F40" s="123"/>
      <c r="G40" s="123"/>
      <c r="H40" s="123"/>
      <c r="I40" s="154"/>
      <c r="J40" s="154"/>
      <c r="K40" s="96"/>
      <c r="L40" s="123"/>
      <c r="M40" s="123"/>
      <c r="N40" s="123"/>
      <c r="O40" s="96"/>
      <c r="P40" s="43">
        <v>1999</v>
      </c>
    </row>
    <row r="41" spans="1:16" ht="12.75" hidden="1">
      <c r="A41" s="43" t="s">
        <v>135</v>
      </c>
      <c r="B41" s="123">
        <v>116194</v>
      </c>
      <c r="C41" s="123">
        <v>72998</v>
      </c>
      <c r="D41" s="123"/>
      <c r="E41" s="123">
        <v>252</v>
      </c>
      <c r="F41" s="123"/>
      <c r="G41" s="123">
        <v>34</v>
      </c>
      <c r="H41" s="123">
        <v>528995</v>
      </c>
      <c r="I41" s="154">
        <v>33551</v>
      </c>
      <c r="J41" s="154">
        <v>3570</v>
      </c>
      <c r="K41" s="96"/>
      <c r="L41" s="123">
        <v>155737</v>
      </c>
      <c r="M41" s="123">
        <v>5879</v>
      </c>
      <c r="N41" s="123">
        <v>113173</v>
      </c>
      <c r="O41" s="96"/>
      <c r="P41" s="43" t="s">
        <v>135</v>
      </c>
    </row>
    <row r="42" spans="1:16" ht="12.75" hidden="1">
      <c r="A42" s="43" t="s">
        <v>28</v>
      </c>
      <c r="B42" s="123">
        <v>106322</v>
      </c>
      <c r="C42" s="123">
        <v>72132</v>
      </c>
      <c r="D42" s="123"/>
      <c r="E42" s="123">
        <v>251</v>
      </c>
      <c r="F42" s="123"/>
      <c r="G42" s="123">
        <v>30</v>
      </c>
      <c r="H42" s="123">
        <v>514991</v>
      </c>
      <c r="I42" s="154">
        <v>32631</v>
      </c>
      <c r="J42" s="154">
        <v>3514</v>
      </c>
      <c r="K42" s="96"/>
      <c r="L42" s="123">
        <v>158395</v>
      </c>
      <c r="M42" s="123">
        <v>2460</v>
      </c>
      <c r="N42" s="123">
        <v>107902</v>
      </c>
      <c r="O42" s="96"/>
      <c r="P42" s="43" t="s">
        <v>28</v>
      </c>
    </row>
    <row r="43" spans="1:16" ht="12.75" hidden="1">
      <c r="A43" s="43" t="s">
        <v>29</v>
      </c>
      <c r="B43" s="123">
        <v>107468</v>
      </c>
      <c r="C43" s="123">
        <v>73912</v>
      </c>
      <c r="D43" s="123"/>
      <c r="E43" s="123">
        <v>360</v>
      </c>
      <c r="F43" s="123"/>
      <c r="G43" s="123">
        <v>35</v>
      </c>
      <c r="H43" s="123">
        <v>536980</v>
      </c>
      <c r="I43" s="154">
        <v>34310</v>
      </c>
      <c r="J43" s="154">
        <v>1759</v>
      </c>
      <c r="K43" s="96"/>
      <c r="L43" s="123">
        <v>143375</v>
      </c>
      <c r="M43" s="123">
        <v>2900</v>
      </c>
      <c r="N43" s="123">
        <v>112845</v>
      </c>
      <c r="O43" s="96"/>
      <c r="P43" s="43" t="s">
        <v>29</v>
      </c>
    </row>
    <row r="44" spans="1:16" ht="12.75" hidden="1">
      <c r="A44" s="43" t="s">
        <v>86</v>
      </c>
      <c r="B44" s="123">
        <v>98478</v>
      </c>
      <c r="C44" s="123">
        <v>78712</v>
      </c>
      <c r="D44" s="123"/>
      <c r="E44" s="123">
        <v>2938</v>
      </c>
      <c r="F44" s="123"/>
      <c r="G44" s="123">
        <v>36</v>
      </c>
      <c r="H44" s="123">
        <v>555040</v>
      </c>
      <c r="I44" s="154">
        <v>34310</v>
      </c>
      <c r="J44" s="154">
        <v>2572</v>
      </c>
      <c r="K44" s="96"/>
      <c r="L44" s="123">
        <v>146605</v>
      </c>
      <c r="M44" s="123">
        <v>1082</v>
      </c>
      <c r="N44" s="123">
        <v>119619</v>
      </c>
      <c r="O44" s="96"/>
      <c r="P44" s="43" t="s">
        <v>86</v>
      </c>
    </row>
    <row r="45" spans="1:16" ht="12.75" hidden="1">
      <c r="A45" s="43" t="s">
        <v>31</v>
      </c>
      <c r="B45" s="123">
        <v>91732</v>
      </c>
      <c r="C45" s="123">
        <v>79858</v>
      </c>
      <c r="D45" s="123"/>
      <c r="E45" s="123">
        <v>7439</v>
      </c>
      <c r="F45" s="123"/>
      <c r="G45" s="123">
        <v>39</v>
      </c>
      <c r="H45" s="123">
        <v>560940</v>
      </c>
      <c r="I45" s="154">
        <v>34188</v>
      </c>
      <c r="J45" s="154">
        <v>2468</v>
      </c>
      <c r="K45" s="96"/>
      <c r="L45" s="123">
        <v>148985</v>
      </c>
      <c r="M45" s="123">
        <v>2664</v>
      </c>
      <c r="N45" s="123">
        <v>120663</v>
      </c>
      <c r="O45" s="96"/>
      <c r="P45" s="43" t="s">
        <v>31</v>
      </c>
    </row>
    <row r="46" spans="1:16" ht="12.75" hidden="1">
      <c r="A46" s="43" t="s">
        <v>32</v>
      </c>
      <c r="B46" s="123">
        <v>92721</v>
      </c>
      <c r="C46" s="123">
        <v>77981</v>
      </c>
      <c r="D46" s="123"/>
      <c r="E46" s="123">
        <v>7463</v>
      </c>
      <c r="F46" s="123"/>
      <c r="G46" s="123">
        <v>92</v>
      </c>
      <c r="H46" s="123">
        <v>584345</v>
      </c>
      <c r="I46" s="154">
        <v>37908</v>
      </c>
      <c r="J46" s="154">
        <v>2471</v>
      </c>
      <c r="K46" s="96"/>
      <c r="L46" s="123">
        <v>145970</v>
      </c>
      <c r="M46" s="123">
        <v>3329</v>
      </c>
      <c r="N46" s="123">
        <v>130933</v>
      </c>
      <c r="O46" s="96"/>
      <c r="P46" s="43" t="s">
        <v>32</v>
      </c>
    </row>
    <row r="47" spans="1:16" ht="12.75" hidden="1">
      <c r="A47" s="43" t="s">
        <v>87</v>
      </c>
      <c r="B47" s="123">
        <v>88693</v>
      </c>
      <c r="C47" s="123">
        <v>76316</v>
      </c>
      <c r="D47" s="123"/>
      <c r="E47" s="123">
        <v>5602</v>
      </c>
      <c r="F47" s="123"/>
      <c r="G47" s="123">
        <v>36</v>
      </c>
      <c r="H47" s="123">
        <v>613724</v>
      </c>
      <c r="I47" s="154">
        <v>40380</v>
      </c>
      <c r="J47" s="154">
        <v>3048</v>
      </c>
      <c r="K47" s="96"/>
      <c r="L47" s="123">
        <v>144263</v>
      </c>
      <c r="M47" s="123">
        <v>2153</v>
      </c>
      <c r="N47" s="123">
        <v>143795</v>
      </c>
      <c r="O47" s="96"/>
      <c r="P47" s="43" t="s">
        <v>87</v>
      </c>
    </row>
    <row r="48" spans="1:16" ht="12.75" hidden="1">
      <c r="A48" s="43" t="s">
        <v>35</v>
      </c>
      <c r="B48" s="123">
        <v>87448</v>
      </c>
      <c r="C48" s="123">
        <v>77967</v>
      </c>
      <c r="D48" s="123"/>
      <c r="E48" s="123">
        <v>6888</v>
      </c>
      <c r="F48" s="123"/>
      <c r="G48" s="123">
        <v>39</v>
      </c>
      <c r="H48" s="123">
        <v>591956</v>
      </c>
      <c r="I48" s="154">
        <v>38074</v>
      </c>
      <c r="J48" s="154">
        <v>2983</v>
      </c>
      <c r="K48" s="96"/>
      <c r="L48" s="123">
        <v>145810</v>
      </c>
      <c r="M48" s="123">
        <v>2047</v>
      </c>
      <c r="N48" s="123">
        <v>139034</v>
      </c>
      <c r="O48" s="96"/>
      <c r="P48" s="43" t="s">
        <v>35</v>
      </c>
    </row>
    <row r="49" spans="1:16" ht="12.75" hidden="1">
      <c r="A49" s="43" t="s">
        <v>36</v>
      </c>
      <c r="B49" s="123">
        <v>90668</v>
      </c>
      <c r="C49" s="123">
        <v>79070</v>
      </c>
      <c r="D49" s="123"/>
      <c r="E49" s="123">
        <v>1704</v>
      </c>
      <c r="F49" s="123"/>
      <c r="G49" s="123">
        <v>44</v>
      </c>
      <c r="H49" s="123">
        <v>631109</v>
      </c>
      <c r="I49" s="154">
        <v>42878</v>
      </c>
      <c r="J49" s="154">
        <v>3001</v>
      </c>
      <c r="K49" s="96"/>
      <c r="L49" s="123">
        <v>141583</v>
      </c>
      <c r="M49" s="123">
        <v>1170</v>
      </c>
      <c r="N49" s="123">
        <v>153399</v>
      </c>
      <c r="O49" s="96"/>
      <c r="P49" s="43" t="s">
        <v>36</v>
      </c>
    </row>
    <row r="50" spans="1:16" ht="12.75" hidden="1">
      <c r="A50" s="43" t="s">
        <v>88</v>
      </c>
      <c r="B50" s="123">
        <v>100627</v>
      </c>
      <c r="C50" s="123">
        <v>87852</v>
      </c>
      <c r="D50" s="123"/>
      <c r="E50" s="123">
        <v>1394</v>
      </c>
      <c r="F50" s="123"/>
      <c r="G50" s="123">
        <v>34</v>
      </c>
      <c r="H50" s="123">
        <v>654427</v>
      </c>
      <c r="I50" s="154">
        <v>44973</v>
      </c>
      <c r="J50" s="154">
        <v>2971</v>
      </c>
      <c r="K50" s="96"/>
      <c r="L50" s="123">
        <v>155728</v>
      </c>
      <c r="M50" s="123">
        <v>2492</v>
      </c>
      <c r="N50" s="123">
        <v>158107</v>
      </c>
      <c r="O50" s="96"/>
      <c r="P50" s="43" t="s">
        <v>88</v>
      </c>
    </row>
    <row r="51" spans="1:16" ht="12.75" hidden="1">
      <c r="A51" s="43"/>
      <c r="B51" s="123"/>
      <c r="C51" s="123"/>
      <c r="D51" s="123"/>
      <c r="E51" s="123"/>
      <c r="F51" s="123"/>
      <c r="G51" s="123"/>
      <c r="H51" s="123"/>
      <c r="I51" s="154"/>
      <c r="J51" s="154"/>
      <c r="K51" s="96"/>
      <c r="L51" s="123"/>
      <c r="M51" s="123"/>
      <c r="N51" s="123"/>
      <c r="O51" s="96"/>
      <c r="P51" s="43"/>
    </row>
    <row r="52" spans="1:16" ht="14.25" customHeight="1" hidden="1">
      <c r="A52" s="43">
        <v>2005</v>
      </c>
      <c r="B52" s="124">
        <f>C52+D52</f>
        <v>304003</v>
      </c>
      <c r="C52" s="123">
        <v>255078</v>
      </c>
      <c r="D52" s="123">
        <v>48925</v>
      </c>
      <c r="E52" s="123">
        <v>4305</v>
      </c>
      <c r="F52" s="123"/>
      <c r="G52" s="123">
        <v>248</v>
      </c>
      <c r="H52" s="123">
        <v>1010214</v>
      </c>
      <c r="I52" s="154">
        <v>24678</v>
      </c>
      <c r="J52" s="154">
        <v>73049</v>
      </c>
      <c r="K52" s="96"/>
      <c r="L52" s="123">
        <v>136166</v>
      </c>
      <c r="M52" s="123">
        <v>44912</v>
      </c>
      <c r="N52" s="123">
        <v>0</v>
      </c>
      <c r="O52" s="96">
        <v>1597575</v>
      </c>
      <c r="P52" s="43">
        <v>2005</v>
      </c>
    </row>
    <row r="53" spans="1:16" ht="12.75" hidden="1">
      <c r="A53" s="43">
        <v>2000</v>
      </c>
      <c r="B53" s="123"/>
      <c r="C53" s="123"/>
      <c r="D53" s="123"/>
      <c r="E53" s="123"/>
      <c r="F53" s="123"/>
      <c r="G53" s="123"/>
      <c r="H53" s="123"/>
      <c r="I53" s="154"/>
      <c r="J53" s="154"/>
      <c r="K53" s="96"/>
      <c r="L53" s="123"/>
      <c r="M53" s="123"/>
      <c r="N53" s="123"/>
      <c r="O53" s="96"/>
      <c r="P53" s="43">
        <v>2000</v>
      </c>
    </row>
    <row r="54" spans="1:16" ht="12.75" hidden="1">
      <c r="A54" s="43" t="s">
        <v>25</v>
      </c>
      <c r="B54" s="123">
        <v>96487</v>
      </c>
      <c r="C54" s="123">
        <v>84440</v>
      </c>
      <c r="D54" s="123"/>
      <c r="E54" s="123">
        <v>413</v>
      </c>
      <c r="F54" s="123"/>
      <c r="G54" s="123">
        <v>39</v>
      </c>
      <c r="H54" s="123">
        <v>662810</v>
      </c>
      <c r="I54" s="154">
        <v>46779</v>
      </c>
      <c r="J54" s="154">
        <v>6175</v>
      </c>
      <c r="K54" s="96"/>
      <c r="L54" s="123">
        <v>141198</v>
      </c>
      <c r="M54" s="123">
        <v>2446</v>
      </c>
      <c r="N54" s="123">
        <v>164596</v>
      </c>
      <c r="O54" s="96"/>
      <c r="P54" s="43" t="s">
        <v>25</v>
      </c>
    </row>
    <row r="55" spans="1:16" ht="12.75" hidden="1">
      <c r="A55" s="43" t="s">
        <v>26</v>
      </c>
      <c r="B55" s="123">
        <v>96296</v>
      </c>
      <c r="C55" s="123">
        <v>85049</v>
      </c>
      <c r="D55" s="123"/>
      <c r="E55" s="123">
        <v>396</v>
      </c>
      <c r="F55" s="123"/>
      <c r="G55" s="123">
        <v>38</v>
      </c>
      <c r="H55" s="123">
        <v>663095</v>
      </c>
      <c r="I55" s="154">
        <v>46782</v>
      </c>
      <c r="J55" s="154">
        <v>3887</v>
      </c>
      <c r="K55" s="96"/>
      <c r="L55" s="123">
        <v>206615</v>
      </c>
      <c r="M55" s="123">
        <v>4965</v>
      </c>
      <c r="N55" s="123">
        <v>163154</v>
      </c>
      <c r="O55" s="96"/>
      <c r="P55" s="43" t="s">
        <v>26</v>
      </c>
    </row>
    <row r="56" spans="1:16" ht="12.75" hidden="1">
      <c r="A56" s="43" t="s">
        <v>135</v>
      </c>
      <c r="B56" s="123">
        <v>96807</v>
      </c>
      <c r="C56" s="123">
        <v>87632</v>
      </c>
      <c r="D56" s="123"/>
      <c r="E56" s="123">
        <v>898</v>
      </c>
      <c r="F56" s="123"/>
      <c r="G56" s="123">
        <v>27</v>
      </c>
      <c r="H56" s="123">
        <v>604518</v>
      </c>
      <c r="I56" s="154">
        <v>44665</v>
      </c>
      <c r="J56" s="154">
        <v>3761</v>
      </c>
      <c r="K56" s="96"/>
      <c r="L56" s="123">
        <v>227806</v>
      </c>
      <c r="M56" s="123">
        <v>4738</v>
      </c>
      <c r="N56" s="123">
        <v>156196</v>
      </c>
      <c r="O56" s="96"/>
      <c r="P56" s="43" t="s">
        <v>135</v>
      </c>
    </row>
    <row r="57" spans="1:16" ht="12.75" hidden="1">
      <c r="A57" s="43" t="s">
        <v>28</v>
      </c>
      <c r="B57" s="123">
        <v>98903</v>
      </c>
      <c r="C57" s="123">
        <v>90739</v>
      </c>
      <c r="D57" s="123"/>
      <c r="E57" s="123">
        <v>848</v>
      </c>
      <c r="F57" s="123"/>
      <c r="G57" s="123">
        <v>33</v>
      </c>
      <c r="H57" s="123">
        <v>558616</v>
      </c>
      <c r="I57" s="154">
        <v>38120</v>
      </c>
      <c r="J57" s="154">
        <v>3169</v>
      </c>
      <c r="K57" s="96"/>
      <c r="L57" s="123">
        <v>219850</v>
      </c>
      <c r="M57" s="123">
        <v>4065</v>
      </c>
      <c r="N57" s="123">
        <v>132563</v>
      </c>
      <c r="O57" s="96"/>
      <c r="P57" s="43" t="s">
        <v>28</v>
      </c>
    </row>
    <row r="58" spans="1:16" ht="12.75" hidden="1">
      <c r="A58" s="43" t="s">
        <v>29</v>
      </c>
      <c r="B58" s="123">
        <v>104146</v>
      </c>
      <c r="C58" s="123">
        <v>87791</v>
      </c>
      <c r="D58" s="123"/>
      <c r="E58" s="123">
        <v>4778</v>
      </c>
      <c r="F58" s="123"/>
      <c r="G58" s="123">
        <v>27</v>
      </c>
      <c r="H58" s="123">
        <v>599523</v>
      </c>
      <c r="I58" s="154">
        <v>38148</v>
      </c>
      <c r="J58" s="154">
        <v>3687</v>
      </c>
      <c r="K58" s="96"/>
      <c r="L58" s="123">
        <v>171375</v>
      </c>
      <c r="M58" s="123">
        <v>3269</v>
      </c>
      <c r="N58" s="123">
        <v>127224</v>
      </c>
      <c r="O58" s="96"/>
      <c r="P58" s="43" t="s">
        <v>29</v>
      </c>
    </row>
    <row r="59" spans="1:16" ht="12.75" hidden="1">
      <c r="A59" s="43" t="s">
        <v>86</v>
      </c>
      <c r="B59" s="123">
        <v>99196</v>
      </c>
      <c r="C59" s="123">
        <v>88159</v>
      </c>
      <c r="D59" s="123"/>
      <c r="E59" s="123">
        <v>2752</v>
      </c>
      <c r="F59" s="123"/>
      <c r="G59" s="123">
        <v>44</v>
      </c>
      <c r="H59" s="123">
        <v>630351</v>
      </c>
      <c r="I59" s="154">
        <v>39673</v>
      </c>
      <c r="J59" s="154">
        <v>-1651</v>
      </c>
      <c r="K59" s="96"/>
      <c r="L59" s="123">
        <v>227149</v>
      </c>
      <c r="M59" s="123">
        <v>3885</v>
      </c>
      <c r="N59" s="123">
        <v>143483</v>
      </c>
      <c r="O59" s="96"/>
      <c r="P59" s="43" t="s">
        <v>86</v>
      </c>
    </row>
    <row r="60" spans="1:16" ht="12.75" hidden="1">
      <c r="A60" s="43" t="s">
        <v>31</v>
      </c>
      <c r="B60" s="123">
        <v>95981</v>
      </c>
      <c r="C60" s="123">
        <v>87046</v>
      </c>
      <c r="D60" s="123"/>
      <c r="E60" s="123">
        <v>1701</v>
      </c>
      <c r="F60" s="123"/>
      <c r="G60" s="123">
        <v>51</v>
      </c>
      <c r="H60" s="123">
        <v>644988</v>
      </c>
      <c r="I60" s="154">
        <v>42080</v>
      </c>
      <c r="J60" s="154">
        <v>3536</v>
      </c>
      <c r="K60" s="96"/>
      <c r="L60" s="123">
        <v>229907</v>
      </c>
      <c r="M60" s="123">
        <v>3594</v>
      </c>
      <c r="N60" s="123">
        <v>155627</v>
      </c>
      <c r="O60" s="96"/>
      <c r="P60" s="43" t="s">
        <v>31</v>
      </c>
    </row>
    <row r="61" spans="1:16" ht="12.75" hidden="1">
      <c r="A61" s="43" t="s">
        <v>32</v>
      </c>
      <c r="B61" s="123">
        <v>90780</v>
      </c>
      <c r="C61" s="123">
        <v>83583</v>
      </c>
      <c r="D61" s="123"/>
      <c r="E61" s="123">
        <v>1636</v>
      </c>
      <c r="F61" s="123"/>
      <c r="G61" s="123">
        <v>45</v>
      </c>
      <c r="H61" s="123">
        <v>645927</v>
      </c>
      <c r="I61" s="154">
        <v>42121</v>
      </c>
      <c r="J61" s="154">
        <v>4387</v>
      </c>
      <c r="K61" s="96"/>
      <c r="L61" s="123">
        <v>228749</v>
      </c>
      <c r="M61" s="123">
        <v>3731</v>
      </c>
      <c r="N61" s="123">
        <v>138888</v>
      </c>
      <c r="O61" s="96"/>
      <c r="P61" s="43" t="s">
        <v>32</v>
      </c>
    </row>
    <row r="62" spans="1:16" ht="12.75" hidden="1">
      <c r="A62" s="43" t="s">
        <v>87</v>
      </c>
      <c r="B62" s="123">
        <v>90367</v>
      </c>
      <c r="C62" s="123">
        <v>82457</v>
      </c>
      <c r="D62" s="123"/>
      <c r="E62" s="123">
        <v>3371</v>
      </c>
      <c r="F62" s="123"/>
      <c r="G62" s="123">
        <v>32</v>
      </c>
      <c r="H62" s="123">
        <v>643499</v>
      </c>
      <c r="I62" s="154">
        <v>41492</v>
      </c>
      <c r="J62" s="154">
        <v>3520</v>
      </c>
      <c r="K62" s="96"/>
      <c r="L62" s="123">
        <v>233540</v>
      </c>
      <c r="M62" s="123">
        <v>4537</v>
      </c>
      <c r="N62" s="123">
        <v>134957</v>
      </c>
      <c r="O62" s="96"/>
      <c r="P62" s="43" t="s">
        <v>87</v>
      </c>
    </row>
    <row r="63" spans="1:16" ht="12.75" hidden="1">
      <c r="A63" s="43" t="s">
        <v>35</v>
      </c>
      <c r="B63" s="123">
        <v>93447</v>
      </c>
      <c r="C63" s="123">
        <v>83182</v>
      </c>
      <c r="D63" s="123"/>
      <c r="E63" s="123">
        <v>2139</v>
      </c>
      <c r="F63" s="123"/>
      <c r="G63" s="123">
        <v>28</v>
      </c>
      <c r="H63" s="123">
        <v>629127</v>
      </c>
      <c r="I63" s="154">
        <v>40742</v>
      </c>
      <c r="J63" s="154">
        <v>2001</v>
      </c>
      <c r="K63" s="96"/>
      <c r="L63" s="123">
        <v>230563</v>
      </c>
      <c r="M63" s="123">
        <v>7761</v>
      </c>
      <c r="N63" s="123">
        <v>128074</v>
      </c>
      <c r="O63" s="96"/>
      <c r="P63" s="43" t="s">
        <v>35</v>
      </c>
    </row>
    <row r="64" spans="1:16" ht="12.75" hidden="1">
      <c r="A64" s="43" t="s">
        <v>36</v>
      </c>
      <c r="B64" s="123">
        <v>98237</v>
      </c>
      <c r="C64" s="123">
        <v>84752</v>
      </c>
      <c r="D64" s="123"/>
      <c r="E64" s="123">
        <v>1858</v>
      </c>
      <c r="F64" s="123"/>
      <c r="G64" s="123">
        <v>42</v>
      </c>
      <c r="H64" s="123">
        <v>605316</v>
      </c>
      <c r="I64" s="154">
        <v>36979</v>
      </c>
      <c r="J64" s="154">
        <v>2942</v>
      </c>
      <c r="K64" s="96"/>
      <c r="L64" s="123">
        <v>224438</v>
      </c>
      <c r="M64" s="123">
        <v>8136</v>
      </c>
      <c r="N64" s="123">
        <v>115036</v>
      </c>
      <c r="O64" s="96"/>
      <c r="P64" s="43" t="s">
        <v>36</v>
      </c>
    </row>
    <row r="65" spans="1:16" ht="12.75" hidden="1">
      <c r="A65" s="43" t="s">
        <v>88</v>
      </c>
      <c r="B65" s="123">
        <v>109843</v>
      </c>
      <c r="C65" s="123">
        <v>95854</v>
      </c>
      <c r="D65" s="123"/>
      <c r="E65" s="123">
        <v>4975</v>
      </c>
      <c r="F65" s="123"/>
      <c r="G65" s="123">
        <v>54</v>
      </c>
      <c r="H65" s="123">
        <v>581153</v>
      </c>
      <c r="I65" s="154">
        <v>32536</v>
      </c>
      <c r="J65" s="154">
        <v>4207</v>
      </c>
      <c r="K65" s="96"/>
      <c r="L65" s="123">
        <v>221936</v>
      </c>
      <c r="M65" s="123">
        <v>10300</v>
      </c>
      <c r="N65" s="123">
        <v>105381</v>
      </c>
      <c r="O65" s="96"/>
      <c r="P65" s="43" t="s">
        <v>88</v>
      </c>
    </row>
    <row r="66" spans="1:16" ht="12.75" hidden="1">
      <c r="A66" s="43">
        <v>2001</v>
      </c>
      <c r="B66" s="123"/>
      <c r="C66" s="123"/>
      <c r="D66" s="123"/>
      <c r="E66" s="123"/>
      <c r="F66" s="123"/>
      <c r="G66" s="123"/>
      <c r="H66" s="123"/>
      <c r="I66" s="154"/>
      <c r="J66" s="154"/>
      <c r="K66" s="96"/>
      <c r="L66" s="123"/>
      <c r="M66" s="123"/>
      <c r="N66" s="123"/>
      <c r="O66" s="96"/>
      <c r="P66" s="43">
        <v>2001</v>
      </c>
    </row>
    <row r="67" spans="1:16" ht="12.75" hidden="1">
      <c r="A67" s="43" t="s">
        <v>25</v>
      </c>
      <c r="B67" s="123">
        <v>106435</v>
      </c>
      <c r="C67" s="123">
        <v>90617</v>
      </c>
      <c r="D67" s="123">
        <f aca="true" t="shared" si="12" ref="D67:D78">B67-C67</f>
        <v>15818</v>
      </c>
      <c r="E67" s="123">
        <v>4490</v>
      </c>
      <c r="F67" s="123"/>
      <c r="G67" s="123">
        <v>108</v>
      </c>
      <c r="H67" s="123">
        <v>586021</v>
      </c>
      <c r="I67" s="154">
        <v>33391</v>
      </c>
      <c r="J67" s="154">
        <v>3948</v>
      </c>
      <c r="K67" s="96"/>
      <c r="L67" s="123">
        <v>233592</v>
      </c>
      <c r="M67" s="123">
        <v>8047</v>
      </c>
      <c r="N67" s="123">
        <v>107207</v>
      </c>
      <c r="O67" s="96">
        <f>B67+E67+G67+H67+I67+J67+L67+M67+N67</f>
        <v>1083239</v>
      </c>
      <c r="P67" s="43" t="s">
        <v>25</v>
      </c>
    </row>
    <row r="68" spans="1:16" ht="12.75" hidden="1">
      <c r="A68" s="43" t="s">
        <v>26</v>
      </c>
      <c r="B68" s="123">
        <v>106769</v>
      </c>
      <c r="C68" s="123">
        <v>95171</v>
      </c>
      <c r="D68" s="123">
        <f t="shared" si="12"/>
        <v>11598</v>
      </c>
      <c r="E68" s="123">
        <v>5029</v>
      </c>
      <c r="F68" s="123"/>
      <c r="G68" s="123">
        <v>108</v>
      </c>
      <c r="H68" s="123">
        <v>595753</v>
      </c>
      <c r="I68" s="154">
        <v>35655</v>
      </c>
      <c r="J68" s="154">
        <v>4434</v>
      </c>
      <c r="K68" s="96"/>
      <c r="L68" s="123">
        <v>234875</v>
      </c>
      <c r="M68" s="123">
        <v>7890</v>
      </c>
      <c r="N68" s="123">
        <v>116714</v>
      </c>
      <c r="O68" s="96">
        <f>B68+E68+G68+H68+I68+J68+L68+M68+N68</f>
        <v>1107227</v>
      </c>
      <c r="P68" s="43" t="s">
        <v>26</v>
      </c>
    </row>
    <row r="69" spans="1:16" ht="12.75" hidden="1">
      <c r="A69" s="43" t="s">
        <v>114</v>
      </c>
      <c r="B69" s="123">
        <v>112866</v>
      </c>
      <c r="C69" s="123">
        <v>101765</v>
      </c>
      <c r="D69" s="123">
        <f t="shared" si="12"/>
        <v>11101</v>
      </c>
      <c r="E69" s="123">
        <v>3588</v>
      </c>
      <c r="F69" s="123"/>
      <c r="G69" s="123">
        <v>92</v>
      </c>
      <c r="H69" s="123">
        <v>587266</v>
      </c>
      <c r="I69" s="154">
        <v>37300</v>
      </c>
      <c r="J69" s="154">
        <v>4719</v>
      </c>
      <c r="K69" s="96"/>
      <c r="L69" s="123">
        <v>235574</v>
      </c>
      <c r="M69" s="123">
        <v>12796</v>
      </c>
      <c r="N69" s="123">
        <v>119332</v>
      </c>
      <c r="O69" s="96">
        <v>1113533</v>
      </c>
      <c r="P69" s="43" t="s">
        <v>114</v>
      </c>
    </row>
    <row r="70" spans="1:16" ht="12.75" hidden="1">
      <c r="A70" s="43" t="s">
        <v>86</v>
      </c>
      <c r="B70" s="123">
        <v>120860</v>
      </c>
      <c r="C70" s="123">
        <v>103262</v>
      </c>
      <c r="D70" s="123">
        <f t="shared" si="12"/>
        <v>17598</v>
      </c>
      <c r="E70" s="123">
        <v>4432</v>
      </c>
      <c r="F70" s="123"/>
      <c r="G70" s="123">
        <v>92</v>
      </c>
      <c r="H70" s="123">
        <v>584410</v>
      </c>
      <c r="I70" s="154">
        <v>37431</v>
      </c>
      <c r="J70" s="154">
        <v>6828</v>
      </c>
      <c r="K70" s="96"/>
      <c r="L70" s="123">
        <v>237777</v>
      </c>
      <c r="M70" s="123">
        <v>11683</v>
      </c>
      <c r="N70" s="123">
        <v>119824</v>
      </c>
      <c r="O70" s="96">
        <f>B70+E70+G70+H70+I70+J70+L70+M70+N70</f>
        <v>1123337</v>
      </c>
      <c r="P70" s="43" t="s">
        <v>28</v>
      </c>
    </row>
    <row r="71" spans="1:16" ht="12.75" hidden="1">
      <c r="A71" s="43" t="s">
        <v>86</v>
      </c>
      <c r="B71" s="123">
        <v>127120</v>
      </c>
      <c r="C71" s="123">
        <v>104495</v>
      </c>
      <c r="D71" s="123">
        <f t="shared" si="12"/>
        <v>22625</v>
      </c>
      <c r="E71" s="123">
        <v>2303</v>
      </c>
      <c r="F71" s="123"/>
      <c r="G71" s="123">
        <v>34</v>
      </c>
      <c r="H71" s="123">
        <v>560692</v>
      </c>
      <c r="I71" s="154">
        <v>37408</v>
      </c>
      <c r="J71" s="154">
        <v>5760</v>
      </c>
      <c r="K71" s="96"/>
      <c r="L71" s="123">
        <v>252885</v>
      </c>
      <c r="M71" s="123">
        <v>11452</v>
      </c>
      <c r="N71" s="123">
        <v>120969</v>
      </c>
      <c r="O71" s="96">
        <f>B71+E71+G71+H71+I71+J71+L71+M71+N71</f>
        <v>1118623</v>
      </c>
      <c r="P71" s="43" t="s">
        <v>29</v>
      </c>
    </row>
    <row r="72" spans="1:16" ht="12.75" hidden="1">
      <c r="A72" s="43" t="s">
        <v>86</v>
      </c>
      <c r="B72" s="123">
        <v>110467</v>
      </c>
      <c r="C72" s="123">
        <v>100664</v>
      </c>
      <c r="D72" s="123">
        <f t="shared" si="12"/>
        <v>9803</v>
      </c>
      <c r="E72" s="123">
        <v>5579</v>
      </c>
      <c r="F72" s="123"/>
      <c r="G72" s="123">
        <v>38</v>
      </c>
      <c r="H72" s="123">
        <v>560404</v>
      </c>
      <c r="I72" s="154">
        <v>38555</v>
      </c>
      <c r="J72" s="154">
        <v>5178</v>
      </c>
      <c r="K72" s="96"/>
      <c r="L72" s="123">
        <v>256410</v>
      </c>
      <c r="M72" s="123">
        <v>14606</v>
      </c>
      <c r="N72" s="123">
        <v>123253</v>
      </c>
      <c r="O72" s="96">
        <v>1114490</v>
      </c>
      <c r="P72" s="43" t="s">
        <v>86</v>
      </c>
    </row>
    <row r="73" spans="1:16" ht="12.75" hidden="1">
      <c r="A73" s="43" t="s">
        <v>31</v>
      </c>
      <c r="B73" s="123">
        <v>110757</v>
      </c>
      <c r="C73" s="123">
        <v>101319</v>
      </c>
      <c r="D73" s="123">
        <f t="shared" si="12"/>
        <v>9438</v>
      </c>
      <c r="E73" s="123">
        <v>6655</v>
      </c>
      <c r="F73" s="123"/>
      <c r="G73" s="123">
        <v>35</v>
      </c>
      <c r="H73" s="123">
        <v>572256</v>
      </c>
      <c r="I73" s="154">
        <v>40469</v>
      </c>
      <c r="J73" s="154">
        <v>6557</v>
      </c>
      <c r="K73" s="96"/>
      <c r="L73" s="123">
        <v>263310</v>
      </c>
      <c r="M73" s="123">
        <v>14956</v>
      </c>
      <c r="N73" s="123">
        <v>148875</v>
      </c>
      <c r="O73" s="96">
        <f>B73+E73+G73+H73+I73+J73+L73+M73+N73</f>
        <v>1163870</v>
      </c>
      <c r="P73" s="43" t="s">
        <v>31</v>
      </c>
    </row>
    <row r="74" spans="1:16" ht="12.75" hidden="1">
      <c r="A74" s="43" t="s">
        <v>32</v>
      </c>
      <c r="B74" s="123">
        <v>117847</v>
      </c>
      <c r="C74" s="123">
        <v>104463</v>
      </c>
      <c r="D74" s="123">
        <f t="shared" si="12"/>
        <v>13384</v>
      </c>
      <c r="E74" s="123">
        <v>4167</v>
      </c>
      <c r="F74" s="123"/>
      <c r="G74" s="123">
        <v>95</v>
      </c>
      <c r="H74" s="123">
        <v>574263</v>
      </c>
      <c r="I74" s="154">
        <v>40106</v>
      </c>
      <c r="J74" s="154">
        <v>5379</v>
      </c>
      <c r="K74" s="96"/>
      <c r="L74" s="123">
        <v>262716</v>
      </c>
      <c r="M74" s="123">
        <v>12897</v>
      </c>
      <c r="N74" s="123">
        <v>101057</v>
      </c>
      <c r="O74" s="96">
        <f>B74+E74+G74+H74+I74+J74+L74+M74+N74</f>
        <v>1118527</v>
      </c>
      <c r="P74" s="43" t="s">
        <v>32</v>
      </c>
    </row>
    <row r="75" spans="1:16" ht="12.75" hidden="1">
      <c r="A75" s="43" t="s">
        <v>87</v>
      </c>
      <c r="B75" s="123">
        <v>113173</v>
      </c>
      <c r="C75" s="123">
        <v>102751</v>
      </c>
      <c r="D75" s="123">
        <f t="shared" si="12"/>
        <v>10422</v>
      </c>
      <c r="E75" s="123">
        <v>6129</v>
      </c>
      <c r="F75" s="123"/>
      <c r="G75" s="123">
        <v>53</v>
      </c>
      <c r="H75" s="123">
        <v>593129</v>
      </c>
      <c r="I75" s="154">
        <v>40985</v>
      </c>
      <c r="J75" s="154">
        <v>5590</v>
      </c>
      <c r="K75" s="96"/>
      <c r="L75" s="123">
        <v>265831</v>
      </c>
      <c r="M75" s="123">
        <v>16118</v>
      </c>
      <c r="N75" s="123">
        <v>101978</v>
      </c>
      <c r="O75" s="96">
        <v>1142985</v>
      </c>
      <c r="P75" s="43" t="s">
        <v>87</v>
      </c>
    </row>
    <row r="76" spans="1:16" ht="12.75" hidden="1">
      <c r="A76" s="43" t="s">
        <v>35</v>
      </c>
      <c r="B76" s="123">
        <v>121731</v>
      </c>
      <c r="C76" s="123">
        <v>107993</v>
      </c>
      <c r="D76" s="123">
        <f t="shared" si="12"/>
        <v>13738</v>
      </c>
      <c r="E76" s="123">
        <v>2460</v>
      </c>
      <c r="F76" s="123"/>
      <c r="G76" s="123">
        <v>35</v>
      </c>
      <c r="H76" s="123">
        <v>592487</v>
      </c>
      <c r="I76" s="154">
        <v>44745</v>
      </c>
      <c r="J76" s="154">
        <v>5405</v>
      </c>
      <c r="K76" s="96"/>
      <c r="L76" s="123">
        <v>258960</v>
      </c>
      <c r="M76" s="123">
        <v>16837</v>
      </c>
      <c r="N76" s="123">
        <v>102924</v>
      </c>
      <c r="O76" s="96">
        <f>B76+E76+G76+H76+I76+J76+L76+M76+N76</f>
        <v>1145584</v>
      </c>
      <c r="P76" s="43" t="s">
        <v>35</v>
      </c>
    </row>
    <row r="77" spans="1:16" ht="12.75" hidden="1">
      <c r="A77" s="43" t="s">
        <v>36</v>
      </c>
      <c r="B77" s="123">
        <v>129500</v>
      </c>
      <c r="C77" s="123">
        <v>114819</v>
      </c>
      <c r="D77" s="123">
        <f t="shared" si="12"/>
        <v>14681</v>
      </c>
      <c r="E77" s="123">
        <v>2061</v>
      </c>
      <c r="F77" s="123"/>
      <c r="G77" s="123">
        <v>26</v>
      </c>
      <c r="H77" s="123">
        <v>617368</v>
      </c>
      <c r="I77" s="154">
        <v>45689</v>
      </c>
      <c r="J77" s="154">
        <v>5662</v>
      </c>
      <c r="K77" s="96"/>
      <c r="L77" s="123">
        <v>258190</v>
      </c>
      <c r="M77" s="123">
        <v>18097</v>
      </c>
      <c r="N77" s="123">
        <v>105719</v>
      </c>
      <c r="O77" s="96">
        <f>B77+E77+G77+H77+I77+J77+L77+M77+N77</f>
        <v>1182312</v>
      </c>
      <c r="P77" s="43" t="s">
        <v>36</v>
      </c>
    </row>
    <row r="78" spans="1:17" ht="12.75" hidden="1">
      <c r="A78" s="43" t="s">
        <v>88</v>
      </c>
      <c r="B78" s="123">
        <v>142103</v>
      </c>
      <c r="C78" s="123">
        <v>125938</v>
      </c>
      <c r="D78" s="123">
        <f t="shared" si="12"/>
        <v>16165</v>
      </c>
      <c r="E78" s="123">
        <v>3363</v>
      </c>
      <c r="F78" s="123"/>
      <c r="G78" s="123">
        <v>31</v>
      </c>
      <c r="H78" s="123">
        <v>615720</v>
      </c>
      <c r="I78" s="154">
        <v>43533</v>
      </c>
      <c r="J78" s="154">
        <v>10240</v>
      </c>
      <c r="K78" s="96"/>
      <c r="L78" s="123">
        <v>261297</v>
      </c>
      <c r="M78" s="123">
        <v>19511</v>
      </c>
      <c r="N78" s="123">
        <v>107089</v>
      </c>
      <c r="O78" s="96">
        <v>1202886</v>
      </c>
      <c r="P78" s="43" t="s">
        <v>88</v>
      </c>
      <c r="Q78" s="112"/>
    </row>
    <row r="79" spans="1:18" ht="15" customHeight="1" hidden="1">
      <c r="A79" s="6"/>
      <c r="B79" s="123"/>
      <c r="C79" s="123"/>
      <c r="D79" s="123"/>
      <c r="E79" s="123"/>
      <c r="F79" s="123"/>
      <c r="G79" s="123"/>
      <c r="H79" s="123"/>
      <c r="I79" s="154"/>
      <c r="J79" s="154"/>
      <c r="K79" s="96"/>
      <c r="L79" s="123"/>
      <c r="M79" s="123"/>
      <c r="N79" s="123"/>
      <c r="O79" s="96"/>
      <c r="P79" s="6"/>
      <c r="Q79" s="112"/>
      <c r="R79" s="106"/>
    </row>
    <row r="80" spans="1:17" ht="12.75" hidden="1">
      <c r="A80" s="6">
        <v>2002</v>
      </c>
      <c r="B80" s="123"/>
      <c r="C80" s="123"/>
      <c r="D80" s="123"/>
      <c r="E80" s="123"/>
      <c r="F80" s="123"/>
      <c r="G80" s="123"/>
      <c r="H80" s="123"/>
      <c r="I80" s="154"/>
      <c r="J80" s="154"/>
      <c r="K80" s="96"/>
      <c r="L80" s="123"/>
      <c r="M80" s="123"/>
      <c r="N80" s="123"/>
      <c r="O80" s="96"/>
      <c r="P80" s="6">
        <v>2002</v>
      </c>
      <c r="Q80" s="112"/>
    </row>
    <row r="81" spans="1:17" ht="12.75" hidden="1">
      <c r="A81" s="6" t="s">
        <v>25</v>
      </c>
      <c r="B81" s="123">
        <v>133055</v>
      </c>
      <c r="C81" s="123">
        <v>118082</v>
      </c>
      <c r="D81" s="123">
        <f>B81-C81</f>
        <v>14973</v>
      </c>
      <c r="E81" s="123">
        <v>2876</v>
      </c>
      <c r="F81" s="123"/>
      <c r="G81" s="123">
        <v>27</v>
      </c>
      <c r="H81" s="123">
        <v>586336</v>
      </c>
      <c r="I81" s="154">
        <v>41320</v>
      </c>
      <c r="J81" s="154">
        <v>12946</v>
      </c>
      <c r="K81" s="96"/>
      <c r="L81" s="123">
        <v>257129</v>
      </c>
      <c r="M81" s="123">
        <v>19010</v>
      </c>
      <c r="N81" s="123">
        <v>105059</v>
      </c>
      <c r="O81" s="96">
        <f>B81+E81+G81+H81+I81+J81+L81+M81+N81</f>
        <v>1157758</v>
      </c>
      <c r="P81" s="8" t="s">
        <v>25</v>
      </c>
      <c r="Q81" s="112"/>
    </row>
    <row r="82" spans="1:17" ht="12.75" hidden="1">
      <c r="A82" s="6" t="s">
        <v>26</v>
      </c>
      <c r="B82" s="123">
        <v>136531</v>
      </c>
      <c r="C82" s="123">
        <v>124751</v>
      </c>
      <c r="D82" s="123">
        <f>B82-C82</f>
        <v>11780</v>
      </c>
      <c r="E82" s="123">
        <v>2519</v>
      </c>
      <c r="F82" s="123"/>
      <c r="G82" s="123">
        <v>35</v>
      </c>
      <c r="H82" s="123">
        <v>589960</v>
      </c>
      <c r="I82" s="154">
        <v>42401</v>
      </c>
      <c r="J82" s="154">
        <v>14378</v>
      </c>
      <c r="K82" s="96"/>
      <c r="L82" s="123">
        <v>261249</v>
      </c>
      <c r="M82" s="123">
        <v>17354</v>
      </c>
      <c r="N82" s="123">
        <v>106517</v>
      </c>
      <c r="O82" s="96">
        <f>B82+E82+G82+H82+I82+J82+L82+M82+N82</f>
        <v>1170944</v>
      </c>
      <c r="P82" s="8" t="s">
        <v>26</v>
      </c>
      <c r="Q82" s="112"/>
    </row>
    <row r="83" spans="1:17" ht="12.75" hidden="1">
      <c r="A83" s="43" t="s">
        <v>114</v>
      </c>
      <c r="B83" s="123">
        <v>143591</v>
      </c>
      <c r="C83" s="123">
        <v>127931</v>
      </c>
      <c r="D83" s="123">
        <f>B83-C83</f>
        <v>15660</v>
      </c>
      <c r="E83" s="123">
        <v>2426</v>
      </c>
      <c r="F83" s="123"/>
      <c r="G83" s="123">
        <v>95</v>
      </c>
      <c r="H83" s="123">
        <v>596133</v>
      </c>
      <c r="I83" s="154">
        <v>42442</v>
      </c>
      <c r="J83" s="154">
        <v>12946</v>
      </c>
      <c r="K83" s="96"/>
      <c r="L83" s="123">
        <v>264621</v>
      </c>
      <c r="M83" s="123">
        <v>17711</v>
      </c>
      <c r="N83" s="123">
        <v>107103</v>
      </c>
      <c r="O83" s="96">
        <v>1210105</v>
      </c>
      <c r="P83" s="43" t="s">
        <v>114</v>
      </c>
      <c r="Q83" s="112"/>
    </row>
    <row r="84" spans="1:17" ht="12.75" hidden="1">
      <c r="A84" s="43" t="s">
        <v>28</v>
      </c>
      <c r="B84" s="123">
        <v>143142</v>
      </c>
      <c r="C84" s="123">
        <v>128475</v>
      </c>
      <c r="D84" s="123">
        <f>B84-C84</f>
        <v>14667</v>
      </c>
      <c r="E84" s="123">
        <v>2276</v>
      </c>
      <c r="F84" s="123"/>
      <c r="G84" s="123">
        <v>83</v>
      </c>
      <c r="H84" s="123">
        <v>593768</v>
      </c>
      <c r="I84" s="154">
        <v>42186</v>
      </c>
      <c r="J84" s="154">
        <v>41565</v>
      </c>
      <c r="K84" s="96"/>
      <c r="L84" s="123">
        <v>264798</v>
      </c>
      <c r="M84" s="123">
        <v>16578</v>
      </c>
      <c r="N84" s="123">
        <v>424222</v>
      </c>
      <c r="O84" s="96">
        <f>B84+E84+G84+H84+I84+J84+L84+M84+N84</f>
        <v>1528618</v>
      </c>
      <c r="P84" s="43" t="s">
        <v>28</v>
      </c>
      <c r="Q84" s="112"/>
    </row>
    <row r="85" spans="1:17" ht="12.75" hidden="1">
      <c r="A85" s="43" t="s">
        <v>29</v>
      </c>
      <c r="B85" s="123">
        <v>155894</v>
      </c>
      <c r="C85" s="123">
        <v>133020</v>
      </c>
      <c r="D85" s="123">
        <f>B85-C85</f>
        <v>22874</v>
      </c>
      <c r="E85" s="123">
        <v>2139</v>
      </c>
      <c r="F85" s="123"/>
      <c r="G85" s="123">
        <v>24</v>
      </c>
      <c r="H85" s="123">
        <v>607125</v>
      </c>
      <c r="I85" s="154">
        <v>40692</v>
      </c>
      <c r="J85" s="154">
        <v>39679</v>
      </c>
      <c r="K85" s="96"/>
      <c r="L85" s="123">
        <v>234223</v>
      </c>
      <c r="M85" s="123">
        <v>13306</v>
      </c>
      <c r="N85" s="123">
        <v>100197</v>
      </c>
      <c r="O85" s="96">
        <f>B85+E85+G85+H85+I85+J85+L85+M85+N85</f>
        <v>1193279</v>
      </c>
      <c r="P85" s="43" t="s">
        <v>29</v>
      </c>
      <c r="Q85" s="112"/>
    </row>
    <row r="86" spans="1:17" ht="12.75" hidden="1">
      <c r="A86" s="43" t="s">
        <v>86</v>
      </c>
      <c r="B86" s="123">
        <v>142965</v>
      </c>
      <c r="C86" s="123">
        <v>130011</v>
      </c>
      <c r="D86" s="123">
        <f aca="true" t="shared" si="13" ref="D86:D113">B86-C86</f>
        <v>12954</v>
      </c>
      <c r="E86" s="123">
        <v>4575</v>
      </c>
      <c r="F86" s="123"/>
      <c r="G86" s="123">
        <v>166</v>
      </c>
      <c r="H86" s="123">
        <v>613784</v>
      </c>
      <c r="I86" s="154">
        <v>39887</v>
      </c>
      <c r="J86" s="154">
        <v>46669</v>
      </c>
      <c r="K86" s="96"/>
      <c r="L86" s="123">
        <v>240047</v>
      </c>
      <c r="M86" s="123">
        <v>11111</v>
      </c>
      <c r="N86" s="123">
        <v>109494</v>
      </c>
      <c r="O86" s="96">
        <v>1208698</v>
      </c>
      <c r="P86" s="43" t="s">
        <v>86</v>
      </c>
      <c r="Q86" s="112"/>
    </row>
    <row r="87" spans="1:17" ht="12.75" hidden="1">
      <c r="A87" s="43" t="s">
        <v>31</v>
      </c>
      <c r="B87" s="123">
        <v>139736</v>
      </c>
      <c r="C87" s="123">
        <v>126169</v>
      </c>
      <c r="D87" s="123">
        <f t="shared" si="13"/>
        <v>13567</v>
      </c>
      <c r="E87" s="123">
        <v>6004</v>
      </c>
      <c r="F87" s="123"/>
      <c r="G87" s="123">
        <v>101</v>
      </c>
      <c r="H87" s="123">
        <v>622600</v>
      </c>
      <c r="I87" s="154">
        <v>40547</v>
      </c>
      <c r="J87" s="154">
        <v>52542</v>
      </c>
      <c r="K87" s="96"/>
      <c r="L87" s="123">
        <v>243329</v>
      </c>
      <c r="M87" s="123">
        <v>21482</v>
      </c>
      <c r="N87" s="123">
        <v>110009</v>
      </c>
      <c r="O87" s="96">
        <f>B87+E87+G87+H87+I87+J87+L87+M87+N87</f>
        <v>1236350</v>
      </c>
      <c r="P87" s="43" t="s">
        <v>31</v>
      </c>
      <c r="Q87" s="112"/>
    </row>
    <row r="88" spans="1:17" ht="12.75" hidden="1">
      <c r="A88" s="43" t="s">
        <v>32</v>
      </c>
      <c r="B88" s="123">
        <v>141700</v>
      </c>
      <c r="C88" s="123">
        <v>126039</v>
      </c>
      <c r="D88" s="123">
        <f t="shared" si="13"/>
        <v>15661</v>
      </c>
      <c r="E88" s="123">
        <v>2965</v>
      </c>
      <c r="F88" s="123"/>
      <c r="G88" s="123">
        <v>97</v>
      </c>
      <c r="H88" s="123">
        <v>623979</v>
      </c>
      <c r="I88" s="154">
        <v>40593</v>
      </c>
      <c r="J88" s="154">
        <v>47861</v>
      </c>
      <c r="K88" s="96"/>
      <c r="L88" s="123">
        <v>246085</v>
      </c>
      <c r="M88" s="123">
        <v>20857</v>
      </c>
      <c r="N88" s="123">
        <v>110293</v>
      </c>
      <c r="O88" s="96">
        <f>B88+E88+G88+H88+I88+J88+L88+M88+N88</f>
        <v>1234430</v>
      </c>
      <c r="P88" s="43" t="s">
        <v>32</v>
      </c>
      <c r="Q88" s="112"/>
    </row>
    <row r="89" spans="1:17" ht="12.75" hidden="1">
      <c r="A89" s="43" t="s">
        <v>87</v>
      </c>
      <c r="B89" s="123">
        <v>144810</v>
      </c>
      <c r="C89" s="123">
        <v>129151</v>
      </c>
      <c r="D89" s="123">
        <f t="shared" si="13"/>
        <v>15659</v>
      </c>
      <c r="E89" s="123">
        <v>4270</v>
      </c>
      <c r="F89" s="123"/>
      <c r="G89" s="123">
        <v>85</v>
      </c>
      <c r="H89" s="123">
        <v>601756</v>
      </c>
      <c r="I89" s="154">
        <v>41037</v>
      </c>
      <c r="J89" s="154">
        <v>71883</v>
      </c>
      <c r="K89" s="96"/>
      <c r="L89" s="123">
        <v>248022</v>
      </c>
      <c r="M89" s="123">
        <v>23112</v>
      </c>
      <c r="N89" s="123">
        <v>111080</v>
      </c>
      <c r="O89" s="96">
        <v>1246055</v>
      </c>
      <c r="P89" s="43" t="s">
        <v>87</v>
      </c>
      <c r="Q89" s="112"/>
    </row>
    <row r="90" spans="1:17" ht="12.75" hidden="1">
      <c r="A90" s="43" t="s">
        <v>35</v>
      </c>
      <c r="B90" s="123">
        <v>148225</v>
      </c>
      <c r="C90" s="123">
        <v>128615</v>
      </c>
      <c r="D90" s="123">
        <f t="shared" si="13"/>
        <v>19610</v>
      </c>
      <c r="E90" s="123">
        <v>2478</v>
      </c>
      <c r="F90" s="123"/>
      <c r="G90" s="123">
        <v>101</v>
      </c>
      <c r="H90" s="123">
        <v>650517</v>
      </c>
      <c r="I90" s="154">
        <v>41366</v>
      </c>
      <c r="J90" s="154">
        <v>79271</v>
      </c>
      <c r="K90" s="96"/>
      <c r="L90" s="123">
        <v>248702</v>
      </c>
      <c r="M90" s="123">
        <v>22132</v>
      </c>
      <c r="N90" s="123">
        <v>112517</v>
      </c>
      <c r="O90" s="96">
        <f>B90+E90+G90+H90+I90+J90+L90+M90+N90</f>
        <v>1305309</v>
      </c>
      <c r="P90" s="43" t="s">
        <v>35</v>
      </c>
      <c r="Q90" s="112"/>
    </row>
    <row r="91" spans="1:17" ht="12.75" hidden="1">
      <c r="A91" s="43" t="s">
        <v>36</v>
      </c>
      <c r="B91" s="123">
        <v>148785</v>
      </c>
      <c r="C91" s="123">
        <v>133556</v>
      </c>
      <c r="D91" s="123">
        <f t="shared" si="13"/>
        <v>15229</v>
      </c>
      <c r="E91" s="123">
        <v>3900</v>
      </c>
      <c r="F91" s="123"/>
      <c r="G91" s="123">
        <v>117</v>
      </c>
      <c r="H91" s="123">
        <v>658254</v>
      </c>
      <c r="I91" s="154">
        <v>42311</v>
      </c>
      <c r="J91" s="154">
        <v>72517</v>
      </c>
      <c r="K91" s="96"/>
      <c r="L91" s="123">
        <v>254802</v>
      </c>
      <c r="M91" s="123">
        <v>22553</v>
      </c>
      <c r="N91" s="123">
        <v>117629</v>
      </c>
      <c r="O91" s="96">
        <f>B91+E91+G91+H91+I91+J91+L91+M91+N91</f>
        <v>1320868</v>
      </c>
      <c r="P91" s="43" t="s">
        <v>36</v>
      </c>
      <c r="Q91" s="112"/>
    </row>
    <row r="92" spans="1:17" ht="12.75" hidden="1">
      <c r="A92" s="43" t="s">
        <v>88</v>
      </c>
      <c r="B92" s="123">
        <v>177441</v>
      </c>
      <c r="C92" s="123">
        <v>158593</v>
      </c>
      <c r="D92" s="123">
        <f t="shared" si="13"/>
        <v>18848</v>
      </c>
      <c r="E92" s="123">
        <v>4526</v>
      </c>
      <c r="F92" s="123"/>
      <c r="G92" s="123">
        <v>103</v>
      </c>
      <c r="H92" s="123">
        <v>666650</v>
      </c>
      <c r="I92" s="154">
        <v>42959</v>
      </c>
      <c r="J92" s="154">
        <v>39379</v>
      </c>
      <c r="K92" s="96"/>
      <c r="L92" s="123">
        <v>260831</v>
      </c>
      <c r="M92" s="123">
        <v>19811</v>
      </c>
      <c r="N92" s="123">
        <v>121351</v>
      </c>
      <c r="O92" s="96">
        <v>1333052</v>
      </c>
      <c r="P92" s="43" t="s">
        <v>88</v>
      </c>
      <c r="Q92" s="112"/>
    </row>
    <row r="93" spans="1:17" ht="12.75" hidden="1">
      <c r="A93" s="6"/>
      <c r="B93" s="123"/>
      <c r="C93" s="123"/>
      <c r="D93" s="123"/>
      <c r="E93" s="123"/>
      <c r="F93" s="123"/>
      <c r="G93" s="123"/>
      <c r="H93" s="123"/>
      <c r="I93" s="154"/>
      <c r="J93" s="154"/>
      <c r="K93" s="96"/>
      <c r="L93" s="123"/>
      <c r="M93" s="123"/>
      <c r="N93" s="123"/>
      <c r="O93" s="96"/>
      <c r="P93" s="8"/>
      <c r="Q93" s="112"/>
    </row>
    <row r="94" spans="1:17" ht="12.75" hidden="1">
      <c r="A94" s="6">
        <v>2003</v>
      </c>
      <c r="B94" s="123"/>
      <c r="C94" s="123"/>
      <c r="D94" s="123"/>
      <c r="E94" s="123"/>
      <c r="F94" s="123"/>
      <c r="G94" s="123"/>
      <c r="H94" s="123"/>
      <c r="I94" s="154"/>
      <c r="J94" s="154"/>
      <c r="K94" s="96"/>
      <c r="L94" s="123"/>
      <c r="M94" s="123"/>
      <c r="N94" s="123"/>
      <c r="O94" s="96"/>
      <c r="P94" s="63">
        <v>2003</v>
      </c>
      <c r="Q94" s="112"/>
    </row>
    <row r="95" spans="1:17" ht="12.75" hidden="1">
      <c r="A95" s="6" t="s">
        <v>25</v>
      </c>
      <c r="B95" s="123">
        <v>168377</v>
      </c>
      <c r="C95" s="123">
        <v>151864</v>
      </c>
      <c r="D95" s="123">
        <f t="shared" si="13"/>
        <v>16513</v>
      </c>
      <c r="E95" s="123">
        <v>2681</v>
      </c>
      <c r="F95" s="123"/>
      <c r="G95" s="123">
        <v>103</v>
      </c>
      <c r="H95" s="123">
        <v>678315</v>
      </c>
      <c r="I95" s="154">
        <v>43499</v>
      </c>
      <c r="J95" s="154">
        <v>46709</v>
      </c>
      <c r="K95" s="96"/>
      <c r="L95" s="123">
        <v>243599</v>
      </c>
      <c r="M95" s="123">
        <v>26035</v>
      </c>
      <c r="N95" s="123">
        <v>125391</v>
      </c>
      <c r="O95" s="96">
        <v>1334706</v>
      </c>
      <c r="P95" s="8" t="s">
        <v>25</v>
      </c>
      <c r="Q95" s="112"/>
    </row>
    <row r="96" spans="1:17" ht="12.75" hidden="1">
      <c r="A96" s="6" t="s">
        <v>26</v>
      </c>
      <c r="B96" s="123">
        <v>168124</v>
      </c>
      <c r="C96" s="123">
        <v>151754</v>
      </c>
      <c r="D96" s="123">
        <f t="shared" si="13"/>
        <v>16370</v>
      </c>
      <c r="E96" s="123">
        <v>2643</v>
      </c>
      <c r="F96" s="123"/>
      <c r="G96" s="123">
        <v>44</v>
      </c>
      <c r="H96" s="123">
        <v>674799</v>
      </c>
      <c r="I96" s="154">
        <v>43217</v>
      </c>
      <c r="J96" s="154">
        <v>54318</v>
      </c>
      <c r="K96" s="96"/>
      <c r="L96" s="123">
        <v>244024</v>
      </c>
      <c r="M96" s="123">
        <v>24637</v>
      </c>
      <c r="N96" s="123">
        <v>124689</v>
      </c>
      <c r="O96" s="96">
        <v>1336494</v>
      </c>
      <c r="P96" s="8" t="s">
        <v>26</v>
      </c>
      <c r="Q96" s="112"/>
    </row>
    <row r="97" spans="1:17" ht="12.75" hidden="1">
      <c r="A97" s="43" t="s">
        <v>114</v>
      </c>
      <c r="B97" s="123">
        <v>169534</v>
      </c>
      <c r="C97" s="123">
        <v>158287</v>
      </c>
      <c r="D97" s="123">
        <f t="shared" si="13"/>
        <v>11247</v>
      </c>
      <c r="E97" s="123">
        <v>3582</v>
      </c>
      <c r="F97" s="123"/>
      <c r="G97" s="123">
        <v>49</v>
      </c>
      <c r="H97" s="123">
        <v>654224</v>
      </c>
      <c r="I97" s="154">
        <v>46481</v>
      </c>
      <c r="J97" s="154">
        <v>72634</v>
      </c>
      <c r="K97" s="96"/>
      <c r="L97" s="123">
        <v>247612</v>
      </c>
      <c r="M97" s="123">
        <v>27538</v>
      </c>
      <c r="N97" s="123">
        <v>127645</v>
      </c>
      <c r="O97" s="96">
        <v>1349299</v>
      </c>
      <c r="P97" s="43" t="s">
        <v>114</v>
      </c>
      <c r="Q97" s="112"/>
    </row>
    <row r="98" spans="1:17" ht="12.75" hidden="1">
      <c r="A98" s="6" t="s">
        <v>28</v>
      </c>
      <c r="B98" s="123">
        <v>175878</v>
      </c>
      <c r="C98" s="123">
        <v>161980</v>
      </c>
      <c r="D98" s="123">
        <f t="shared" si="13"/>
        <v>13898</v>
      </c>
      <c r="E98" s="123">
        <v>2703</v>
      </c>
      <c r="F98" s="123"/>
      <c r="G98" s="123">
        <v>49</v>
      </c>
      <c r="H98" s="123">
        <v>643801</v>
      </c>
      <c r="I98" s="154">
        <v>45180</v>
      </c>
      <c r="J98" s="154">
        <v>80791</v>
      </c>
      <c r="K98" s="96"/>
      <c r="L98" s="123">
        <v>242007</v>
      </c>
      <c r="M98" s="123">
        <v>32004</v>
      </c>
      <c r="N98" s="123">
        <v>134198</v>
      </c>
      <c r="O98" s="96">
        <v>1356612</v>
      </c>
      <c r="P98" s="8" t="s">
        <v>28</v>
      </c>
      <c r="Q98" s="112"/>
    </row>
    <row r="99" spans="1:17" ht="12.75" hidden="1">
      <c r="A99" s="6" t="s">
        <v>29</v>
      </c>
      <c r="B99" s="123">
        <v>176925</v>
      </c>
      <c r="C99" s="123">
        <v>161750</v>
      </c>
      <c r="D99" s="123">
        <f t="shared" si="13"/>
        <v>15175</v>
      </c>
      <c r="E99" s="123">
        <v>2335</v>
      </c>
      <c r="F99" s="123"/>
      <c r="G99" s="123">
        <v>109</v>
      </c>
      <c r="H99" s="123">
        <v>750945</v>
      </c>
      <c r="I99" s="154">
        <v>46858</v>
      </c>
      <c r="J99" s="154">
        <v>85069</v>
      </c>
      <c r="K99" s="96"/>
      <c r="L99" s="123">
        <v>212606</v>
      </c>
      <c r="M99" s="123">
        <v>32558</v>
      </c>
      <c r="N99" s="123">
        <v>134196</v>
      </c>
      <c r="O99" s="96">
        <v>1441603</v>
      </c>
      <c r="P99" s="8" t="s">
        <v>29</v>
      </c>
      <c r="Q99" s="112"/>
    </row>
    <row r="100" spans="1:17" ht="12.75" hidden="1">
      <c r="A100" s="43" t="s">
        <v>86</v>
      </c>
      <c r="B100" s="123">
        <v>178812</v>
      </c>
      <c r="C100" s="123">
        <v>163211</v>
      </c>
      <c r="D100" s="123">
        <f t="shared" si="13"/>
        <v>15601</v>
      </c>
      <c r="E100" s="123">
        <v>3832</v>
      </c>
      <c r="F100" s="123"/>
      <c r="G100" s="123">
        <v>104</v>
      </c>
      <c r="H100" s="123">
        <v>739108</v>
      </c>
      <c r="I100" s="154">
        <v>45549</v>
      </c>
      <c r="J100" s="154">
        <v>85365</v>
      </c>
      <c r="K100" s="96"/>
      <c r="L100" s="123">
        <v>215150</v>
      </c>
      <c r="M100" s="123">
        <v>34840</v>
      </c>
      <c r="N100" s="123">
        <v>126946</v>
      </c>
      <c r="O100" s="96">
        <v>1429707</v>
      </c>
      <c r="P100" s="43" t="s">
        <v>86</v>
      </c>
      <c r="Q100" s="112"/>
    </row>
    <row r="101" spans="1:17" ht="12.75" hidden="1">
      <c r="A101" s="6" t="s">
        <v>31</v>
      </c>
      <c r="B101" s="123">
        <v>179818</v>
      </c>
      <c r="C101" s="123">
        <v>159144</v>
      </c>
      <c r="D101" s="123">
        <f t="shared" si="13"/>
        <v>20674</v>
      </c>
      <c r="E101" s="123">
        <v>3370</v>
      </c>
      <c r="F101" s="123"/>
      <c r="G101" s="123">
        <v>104</v>
      </c>
      <c r="H101" s="123">
        <v>754872</v>
      </c>
      <c r="I101" s="154">
        <v>46883</v>
      </c>
      <c r="J101" s="154">
        <v>52495</v>
      </c>
      <c r="K101" s="96"/>
      <c r="L101" s="123">
        <v>213424</v>
      </c>
      <c r="M101" s="123">
        <v>36417</v>
      </c>
      <c r="N101" s="123">
        <v>128363</v>
      </c>
      <c r="O101" s="96">
        <v>1415747</v>
      </c>
      <c r="P101" s="8" t="s">
        <v>31</v>
      </c>
      <c r="Q101" s="112"/>
    </row>
    <row r="102" spans="1:17" ht="12.75" hidden="1">
      <c r="A102" s="6" t="s">
        <v>32</v>
      </c>
      <c r="B102" s="123">
        <v>186333</v>
      </c>
      <c r="C102" s="123">
        <v>164598</v>
      </c>
      <c r="D102" s="123">
        <f t="shared" si="13"/>
        <v>21735</v>
      </c>
      <c r="E102" s="123">
        <v>2810</v>
      </c>
      <c r="F102" s="123"/>
      <c r="G102" s="123">
        <v>37</v>
      </c>
      <c r="H102" s="123">
        <v>749616</v>
      </c>
      <c r="I102" s="154">
        <v>47724</v>
      </c>
      <c r="J102" s="154">
        <v>50995</v>
      </c>
      <c r="K102" s="96"/>
      <c r="L102" s="123">
        <v>215784</v>
      </c>
      <c r="M102" s="123">
        <v>38121</v>
      </c>
      <c r="N102" s="123">
        <v>127977</v>
      </c>
      <c r="O102" s="96">
        <v>1419477</v>
      </c>
      <c r="P102" s="8" t="s">
        <v>32</v>
      </c>
      <c r="Q102" s="112"/>
    </row>
    <row r="103" spans="1:17" ht="12.75" hidden="1">
      <c r="A103" s="43" t="s">
        <v>87</v>
      </c>
      <c r="B103" s="123">
        <v>192483</v>
      </c>
      <c r="C103" s="123">
        <v>171692</v>
      </c>
      <c r="D103" s="123">
        <f t="shared" si="13"/>
        <v>20791</v>
      </c>
      <c r="E103" s="123">
        <v>4281</v>
      </c>
      <c r="F103" s="123"/>
      <c r="G103" s="123">
        <v>85</v>
      </c>
      <c r="H103" s="123">
        <v>765818</v>
      </c>
      <c r="I103" s="154">
        <v>49124</v>
      </c>
      <c r="J103" s="154">
        <v>13788</v>
      </c>
      <c r="K103" s="96"/>
      <c r="L103" s="123">
        <v>220182</v>
      </c>
      <c r="M103" s="123">
        <v>41380</v>
      </c>
      <c r="N103" s="123">
        <v>0</v>
      </c>
      <c r="O103" s="96">
        <v>1287141</v>
      </c>
      <c r="P103" s="43" t="s">
        <v>87</v>
      </c>
      <c r="Q103" s="112"/>
    </row>
    <row r="104" spans="1:17" ht="12.75" hidden="1">
      <c r="A104" s="6" t="s">
        <v>35</v>
      </c>
      <c r="B104" s="123">
        <v>194651</v>
      </c>
      <c r="C104" s="123">
        <v>169590</v>
      </c>
      <c r="D104" s="123">
        <f t="shared" si="13"/>
        <v>25061</v>
      </c>
      <c r="E104" s="123">
        <v>3719</v>
      </c>
      <c r="F104" s="123"/>
      <c r="G104" s="123">
        <v>85</v>
      </c>
      <c r="H104" s="123">
        <v>747600</v>
      </c>
      <c r="I104" s="154">
        <v>50092</v>
      </c>
      <c r="J104" s="154">
        <v>10576</v>
      </c>
      <c r="K104" s="96"/>
      <c r="L104" s="123">
        <v>231380</v>
      </c>
      <c r="M104" s="123">
        <v>41512</v>
      </c>
      <c r="N104" s="123">
        <v>133791</v>
      </c>
      <c r="O104" s="96">
        <v>1413406</v>
      </c>
      <c r="P104" s="8" t="s">
        <v>35</v>
      </c>
      <c r="Q104" s="112"/>
    </row>
    <row r="105" spans="1:17" ht="12.75" hidden="1">
      <c r="A105" s="6" t="s">
        <v>36</v>
      </c>
      <c r="B105" s="123">
        <v>198465</v>
      </c>
      <c r="C105" s="123">
        <v>178624</v>
      </c>
      <c r="D105" s="123">
        <f t="shared" si="13"/>
        <v>19841</v>
      </c>
      <c r="E105" s="123">
        <v>4103</v>
      </c>
      <c r="F105" s="123"/>
      <c r="G105" s="123">
        <v>201</v>
      </c>
      <c r="H105" s="123">
        <v>745104</v>
      </c>
      <c r="I105" s="154">
        <v>50163</v>
      </c>
      <c r="J105" s="154">
        <v>13261</v>
      </c>
      <c r="K105" s="96"/>
      <c r="L105" s="123">
        <v>210080</v>
      </c>
      <c r="M105" s="123">
        <v>42488</v>
      </c>
      <c r="N105" s="123">
        <v>135803</v>
      </c>
      <c r="O105" s="96">
        <v>1399669</v>
      </c>
      <c r="P105" s="8" t="s">
        <v>36</v>
      </c>
      <c r="Q105" s="112"/>
    </row>
    <row r="106" spans="1:17" ht="12.75" hidden="1">
      <c r="A106" s="43" t="s">
        <v>88</v>
      </c>
      <c r="B106" s="123">
        <v>217217</v>
      </c>
      <c r="C106" s="123">
        <v>199588</v>
      </c>
      <c r="D106" s="123">
        <f t="shared" si="13"/>
        <v>17629</v>
      </c>
      <c r="E106" s="123">
        <v>4628</v>
      </c>
      <c r="F106" s="123"/>
      <c r="G106" s="123">
        <v>94</v>
      </c>
      <c r="H106" s="123">
        <v>755301</v>
      </c>
      <c r="I106" s="154">
        <v>51239</v>
      </c>
      <c r="J106" s="154">
        <v>11354</v>
      </c>
      <c r="K106" s="96"/>
      <c r="L106" s="123">
        <v>225266</v>
      </c>
      <c r="M106" s="123">
        <v>48059</v>
      </c>
      <c r="N106" s="123">
        <v>0</v>
      </c>
      <c r="O106" s="96">
        <v>1313158</v>
      </c>
      <c r="P106" s="43" t="s">
        <v>88</v>
      </c>
      <c r="Q106" s="112"/>
    </row>
    <row r="107" spans="1:17" ht="12.75" hidden="1">
      <c r="A107" s="6"/>
      <c r="B107" s="123"/>
      <c r="C107" s="123"/>
      <c r="D107" s="123"/>
      <c r="E107" s="123"/>
      <c r="F107" s="123"/>
      <c r="G107" s="123"/>
      <c r="H107" s="123"/>
      <c r="I107" s="154"/>
      <c r="J107" s="154"/>
      <c r="K107" s="96"/>
      <c r="L107" s="123"/>
      <c r="M107" s="123"/>
      <c r="N107" s="123"/>
      <c r="O107" s="96"/>
      <c r="P107" s="8"/>
      <c r="Q107" s="112"/>
    </row>
    <row r="108" spans="1:17" ht="12.75" hidden="1">
      <c r="A108" s="6">
        <v>2004</v>
      </c>
      <c r="B108" s="123"/>
      <c r="C108" s="123"/>
      <c r="D108" s="123"/>
      <c r="E108" s="123"/>
      <c r="F108" s="123"/>
      <c r="G108" s="123"/>
      <c r="H108" s="123"/>
      <c r="I108" s="154"/>
      <c r="J108" s="154"/>
      <c r="K108" s="96"/>
      <c r="L108" s="123"/>
      <c r="M108" s="123"/>
      <c r="N108" s="123"/>
      <c r="O108" s="96"/>
      <c r="P108" s="63">
        <v>2004</v>
      </c>
      <c r="Q108" s="112"/>
    </row>
    <row r="109" spans="1:17" ht="12.75" customHeight="1" hidden="1">
      <c r="A109" s="6" t="s">
        <v>25</v>
      </c>
      <c r="B109" s="123">
        <v>207467</v>
      </c>
      <c r="C109" s="123">
        <v>191777</v>
      </c>
      <c r="D109" s="123">
        <f t="shared" si="13"/>
        <v>15690</v>
      </c>
      <c r="E109" s="123">
        <v>4183</v>
      </c>
      <c r="F109" s="123"/>
      <c r="G109" s="123">
        <v>94</v>
      </c>
      <c r="H109" s="123">
        <v>769360</v>
      </c>
      <c r="I109" s="154">
        <v>51255</v>
      </c>
      <c r="J109" s="154">
        <v>17874</v>
      </c>
      <c r="K109" s="96"/>
      <c r="L109" s="123">
        <v>224087</v>
      </c>
      <c r="M109" s="123">
        <v>47083</v>
      </c>
      <c r="N109" s="123">
        <v>147696</v>
      </c>
      <c r="O109" s="96">
        <v>1469099</v>
      </c>
      <c r="P109" s="6" t="s">
        <v>25</v>
      </c>
      <c r="Q109" s="112"/>
    </row>
    <row r="110" spans="1:17" ht="12.75" customHeight="1" hidden="1">
      <c r="A110" s="6" t="s">
        <v>26</v>
      </c>
      <c r="B110" s="123">
        <v>211847</v>
      </c>
      <c r="C110" s="123">
        <v>190545</v>
      </c>
      <c r="D110" s="123">
        <f t="shared" si="13"/>
        <v>21302</v>
      </c>
      <c r="E110" s="123">
        <v>3220</v>
      </c>
      <c r="F110" s="123"/>
      <c r="G110" s="123">
        <v>157</v>
      </c>
      <c r="H110" s="123">
        <v>765951</v>
      </c>
      <c r="I110" s="154">
        <v>52586</v>
      </c>
      <c r="J110" s="154">
        <v>10339</v>
      </c>
      <c r="K110" s="96"/>
      <c r="L110" s="123">
        <v>239021</v>
      </c>
      <c r="M110" s="123">
        <v>46555</v>
      </c>
      <c r="N110" s="123">
        <v>148104</v>
      </c>
      <c r="O110" s="96">
        <v>1477780</v>
      </c>
      <c r="P110" s="6" t="s">
        <v>26</v>
      </c>
      <c r="Q110" s="112"/>
    </row>
    <row r="111" spans="1:17" ht="12.75" customHeight="1" hidden="1">
      <c r="A111" s="43" t="s">
        <v>114</v>
      </c>
      <c r="B111" s="123">
        <v>215769</v>
      </c>
      <c r="C111" s="123">
        <v>195141</v>
      </c>
      <c r="D111" s="123">
        <f>B111-C111</f>
        <v>20628</v>
      </c>
      <c r="E111" s="123">
        <v>3469</v>
      </c>
      <c r="F111" s="123"/>
      <c r="G111" s="123">
        <v>174</v>
      </c>
      <c r="H111" s="123">
        <v>812265</v>
      </c>
      <c r="I111" s="154">
        <v>53410</v>
      </c>
      <c r="J111" s="154">
        <v>9476</v>
      </c>
      <c r="K111" s="96"/>
      <c r="L111" s="123">
        <v>208347</v>
      </c>
      <c r="M111" s="123">
        <v>48081</v>
      </c>
      <c r="N111" s="123">
        <v>0</v>
      </c>
      <c r="O111" s="96">
        <v>1350992</v>
      </c>
      <c r="P111" s="43" t="s">
        <v>114</v>
      </c>
      <c r="Q111" s="112"/>
    </row>
    <row r="112" spans="1:17" ht="12.75" customHeight="1" hidden="1">
      <c r="A112" s="6" t="s">
        <v>28</v>
      </c>
      <c r="B112" s="123">
        <v>215986</v>
      </c>
      <c r="C112" s="123">
        <v>198334</v>
      </c>
      <c r="D112" s="123">
        <f t="shared" si="13"/>
        <v>17652</v>
      </c>
      <c r="E112" s="123">
        <v>4362</v>
      </c>
      <c r="F112" s="123"/>
      <c r="G112" s="123">
        <v>111</v>
      </c>
      <c r="H112" s="123">
        <v>825141</v>
      </c>
      <c r="I112" s="154">
        <v>53378</v>
      </c>
      <c r="J112" s="154">
        <v>11672</v>
      </c>
      <c r="K112" s="96"/>
      <c r="L112" s="123">
        <v>227687</v>
      </c>
      <c r="M112" s="123">
        <v>49107</v>
      </c>
      <c r="N112" s="123">
        <v>146863</v>
      </c>
      <c r="O112" s="96">
        <v>1534305</v>
      </c>
      <c r="P112" s="6" t="s">
        <v>28</v>
      </c>
      <c r="Q112" s="112"/>
    </row>
    <row r="113" spans="1:17" ht="12.75" customHeight="1" hidden="1">
      <c r="A113" s="6" t="s">
        <v>29</v>
      </c>
      <c r="B113" s="123">
        <v>226088</v>
      </c>
      <c r="C113" s="123">
        <v>204111</v>
      </c>
      <c r="D113" s="123">
        <f t="shared" si="13"/>
        <v>21977</v>
      </c>
      <c r="E113" s="123">
        <v>4693</v>
      </c>
      <c r="F113" s="123"/>
      <c r="G113" s="123">
        <v>151</v>
      </c>
      <c r="H113" s="123">
        <v>905842</v>
      </c>
      <c r="I113" s="154">
        <v>54431</v>
      </c>
      <c r="J113" s="154">
        <v>9704</v>
      </c>
      <c r="K113" s="96"/>
      <c r="L113" s="123">
        <v>145916</v>
      </c>
      <c r="M113" s="123">
        <v>42495</v>
      </c>
      <c r="N113" s="123">
        <v>0</v>
      </c>
      <c r="O113" s="96">
        <v>1389321</v>
      </c>
      <c r="P113" s="6" t="s">
        <v>29</v>
      </c>
      <c r="Q113" s="112"/>
    </row>
    <row r="114" spans="1:18" ht="12.75" customHeight="1" hidden="1">
      <c r="A114" s="6" t="s">
        <v>86</v>
      </c>
      <c r="B114" s="105">
        <v>216633</v>
      </c>
      <c r="C114" s="105">
        <v>194246</v>
      </c>
      <c r="D114" s="105">
        <f>B114-C114</f>
        <v>22387</v>
      </c>
      <c r="E114" s="105">
        <v>5070</v>
      </c>
      <c r="F114" s="105"/>
      <c r="G114" s="105">
        <v>121</v>
      </c>
      <c r="H114" s="105">
        <v>877645</v>
      </c>
      <c r="I114" s="142">
        <v>53698</v>
      </c>
      <c r="J114" s="142">
        <v>10200</v>
      </c>
      <c r="K114" s="124"/>
      <c r="L114" s="105">
        <v>143744</v>
      </c>
      <c r="M114" s="105">
        <v>42681</v>
      </c>
      <c r="N114" s="105">
        <v>0</v>
      </c>
      <c r="O114" s="124">
        <v>1349793</v>
      </c>
      <c r="P114" s="6" t="s">
        <v>86</v>
      </c>
      <c r="Q114" s="112"/>
      <c r="R114" s="106"/>
    </row>
    <row r="115" spans="1:17" ht="12.75" hidden="1">
      <c r="A115" s="6" t="s">
        <v>31</v>
      </c>
      <c r="B115" s="124">
        <v>219416</v>
      </c>
      <c r="C115" s="105">
        <v>190848</v>
      </c>
      <c r="D115" s="105">
        <f>B115-C115</f>
        <v>28568</v>
      </c>
      <c r="E115" s="105">
        <v>3061</v>
      </c>
      <c r="F115" s="105"/>
      <c r="G115" s="105">
        <v>215</v>
      </c>
      <c r="H115" s="105">
        <v>863053</v>
      </c>
      <c r="I115" s="142">
        <v>53941</v>
      </c>
      <c r="J115" s="142">
        <v>12050</v>
      </c>
      <c r="K115" s="124"/>
      <c r="L115" s="105">
        <v>145803</v>
      </c>
      <c r="M115" s="105">
        <v>47550</v>
      </c>
      <c r="N115" s="105">
        <v>0</v>
      </c>
      <c r="O115" s="124">
        <v>1345090</v>
      </c>
      <c r="P115" s="6" t="s">
        <v>31</v>
      </c>
      <c r="Q115" s="112"/>
    </row>
    <row r="116" spans="1:17" ht="12.75" customHeight="1" hidden="1">
      <c r="A116" s="6" t="s">
        <v>32</v>
      </c>
      <c r="B116" s="124">
        <v>213101</v>
      </c>
      <c r="C116" s="105">
        <v>182041</v>
      </c>
      <c r="D116" s="105">
        <f>B116-C116</f>
        <v>31060</v>
      </c>
      <c r="E116" s="105">
        <v>2801</v>
      </c>
      <c r="F116" s="105"/>
      <c r="G116" s="105">
        <v>132</v>
      </c>
      <c r="H116" s="105">
        <v>869983</v>
      </c>
      <c r="I116" s="142">
        <v>54830</v>
      </c>
      <c r="J116" s="142">
        <v>10392</v>
      </c>
      <c r="K116" s="124"/>
      <c r="L116" s="105">
        <v>145349</v>
      </c>
      <c r="M116" s="105">
        <v>49261</v>
      </c>
      <c r="N116" s="105">
        <v>0</v>
      </c>
      <c r="O116" s="124">
        <v>1345849</v>
      </c>
      <c r="P116" s="6" t="s">
        <v>32</v>
      </c>
      <c r="Q116" s="112"/>
    </row>
    <row r="117" spans="1:17" ht="12.75" customHeight="1" hidden="1">
      <c r="A117" s="6" t="s">
        <v>87</v>
      </c>
      <c r="B117" s="124">
        <v>215949</v>
      </c>
      <c r="C117" s="105">
        <v>183425</v>
      </c>
      <c r="D117" s="105">
        <f>B117-C117</f>
        <v>32524</v>
      </c>
      <c r="E117" s="105">
        <v>4511</v>
      </c>
      <c r="F117" s="105"/>
      <c r="G117" s="105">
        <v>256</v>
      </c>
      <c r="H117" s="105">
        <v>874092</v>
      </c>
      <c r="I117" s="142">
        <v>55043</v>
      </c>
      <c r="J117" s="142">
        <v>10995</v>
      </c>
      <c r="K117" s="124"/>
      <c r="L117" s="105">
        <v>144323</v>
      </c>
      <c r="M117" s="105">
        <v>55412</v>
      </c>
      <c r="N117" s="105">
        <v>0</v>
      </c>
      <c r="O117" s="124">
        <v>1360581</v>
      </c>
      <c r="P117" s="6" t="s">
        <v>87</v>
      </c>
      <c r="Q117" s="112"/>
    </row>
    <row r="118" spans="1:17" ht="12.75" customHeight="1" hidden="1">
      <c r="A118" s="6" t="s">
        <v>35</v>
      </c>
      <c r="B118" s="124">
        <v>211264</v>
      </c>
      <c r="C118" s="105">
        <v>183273</v>
      </c>
      <c r="D118" s="105">
        <f>B118-C118</f>
        <v>27991</v>
      </c>
      <c r="E118" s="105">
        <v>2690</v>
      </c>
      <c r="F118" s="105"/>
      <c r="G118" s="105">
        <v>131</v>
      </c>
      <c r="H118" s="105">
        <v>884624</v>
      </c>
      <c r="I118" s="142">
        <v>55552</v>
      </c>
      <c r="J118" s="142">
        <v>14748</v>
      </c>
      <c r="K118" s="124"/>
      <c r="L118" s="105">
        <v>148571</v>
      </c>
      <c r="M118" s="105">
        <v>57594</v>
      </c>
      <c r="N118" s="105">
        <v>0</v>
      </c>
      <c r="O118" s="124">
        <v>1375175</v>
      </c>
      <c r="P118" s="6" t="s">
        <v>35</v>
      </c>
      <c r="Q118" s="112"/>
    </row>
    <row r="119" spans="1:17" ht="12.75" customHeight="1" hidden="1">
      <c r="A119" s="6" t="s">
        <v>36</v>
      </c>
      <c r="B119" s="124">
        <v>221339</v>
      </c>
      <c r="C119" s="105">
        <v>190613</v>
      </c>
      <c r="D119" s="105">
        <v>30727</v>
      </c>
      <c r="E119" s="105">
        <v>4118</v>
      </c>
      <c r="F119" s="105"/>
      <c r="G119" s="105">
        <v>158</v>
      </c>
      <c r="H119" s="105">
        <v>959451</v>
      </c>
      <c r="I119" s="142">
        <v>56610</v>
      </c>
      <c r="J119" s="142">
        <v>9883</v>
      </c>
      <c r="K119" s="124"/>
      <c r="L119" s="105">
        <v>160654</v>
      </c>
      <c r="M119" s="105">
        <v>53346</v>
      </c>
      <c r="N119" s="105">
        <v>0</v>
      </c>
      <c r="O119" s="124">
        <v>1465560</v>
      </c>
      <c r="P119" s="6" t="s">
        <v>36</v>
      </c>
      <c r="Q119" s="112"/>
    </row>
    <row r="120" spans="1:17" ht="12.75" customHeight="1" hidden="1">
      <c r="A120" s="6" t="s">
        <v>88</v>
      </c>
      <c r="B120" s="124">
        <v>244622</v>
      </c>
      <c r="C120" s="105">
        <v>221425</v>
      </c>
      <c r="D120" s="105">
        <v>23198</v>
      </c>
      <c r="E120" s="105">
        <v>2910</v>
      </c>
      <c r="F120" s="105"/>
      <c r="G120" s="105">
        <v>182</v>
      </c>
      <c r="H120" s="105">
        <v>963653</v>
      </c>
      <c r="I120" s="142">
        <v>57205</v>
      </c>
      <c r="J120" s="142">
        <v>36209</v>
      </c>
      <c r="K120" s="124"/>
      <c r="L120" s="105">
        <v>165663</v>
      </c>
      <c r="M120" s="105">
        <v>56013</v>
      </c>
      <c r="N120" s="105">
        <v>0</v>
      </c>
      <c r="O120" s="124">
        <v>1526458</v>
      </c>
      <c r="P120" s="6" t="s">
        <v>88</v>
      </c>
      <c r="Q120" s="112"/>
    </row>
    <row r="121" spans="1:17" ht="12.75" customHeight="1" hidden="1">
      <c r="A121" s="6"/>
      <c r="B121" s="124"/>
      <c r="C121" s="105"/>
      <c r="D121" s="105"/>
      <c r="E121" s="105"/>
      <c r="F121" s="105"/>
      <c r="G121" s="105"/>
      <c r="H121" s="105"/>
      <c r="I121" s="142"/>
      <c r="J121" s="142"/>
      <c r="K121" s="124"/>
      <c r="L121" s="105"/>
      <c r="M121" s="105"/>
      <c r="N121" s="105"/>
      <c r="O121" s="124"/>
      <c r="P121" s="6"/>
      <c r="Q121" s="112"/>
    </row>
    <row r="122" spans="1:17" ht="12.75" customHeight="1" hidden="1">
      <c r="A122" s="6">
        <v>2005</v>
      </c>
      <c r="B122" s="124"/>
      <c r="C122" s="105"/>
      <c r="D122" s="105"/>
      <c r="E122" s="105"/>
      <c r="F122" s="105"/>
      <c r="G122" s="105"/>
      <c r="H122" s="105"/>
      <c r="I122" s="142"/>
      <c r="J122" s="142"/>
      <c r="K122" s="124"/>
      <c r="L122" s="105"/>
      <c r="M122" s="105"/>
      <c r="N122" s="105"/>
      <c r="O122" s="124"/>
      <c r="P122" s="63">
        <v>2005</v>
      </c>
      <c r="Q122" s="112"/>
    </row>
    <row r="123" spans="1:17" ht="12.75" customHeight="1" hidden="1">
      <c r="A123" s="6" t="s">
        <v>25</v>
      </c>
      <c r="B123" s="124">
        <v>242139</v>
      </c>
      <c r="C123" s="105">
        <v>207022</v>
      </c>
      <c r="D123" s="105">
        <v>35117</v>
      </c>
      <c r="E123" s="105">
        <v>3599</v>
      </c>
      <c r="F123" s="105"/>
      <c r="G123" s="105">
        <v>171</v>
      </c>
      <c r="H123" s="105">
        <v>964455</v>
      </c>
      <c r="I123" s="142">
        <v>57249</v>
      </c>
      <c r="J123" s="142">
        <v>24485</v>
      </c>
      <c r="K123" s="124"/>
      <c r="L123" s="105">
        <v>151155</v>
      </c>
      <c r="M123" s="105">
        <v>39354</v>
      </c>
      <c r="N123" s="105">
        <v>0</v>
      </c>
      <c r="O123" s="124">
        <v>1482606</v>
      </c>
      <c r="P123" s="6" t="s">
        <v>25</v>
      </c>
      <c r="Q123" s="112"/>
    </row>
    <row r="124" spans="1:17" ht="12.75" customHeight="1" hidden="1">
      <c r="A124" s="6" t="s">
        <v>26</v>
      </c>
      <c r="B124" s="124">
        <v>239965</v>
      </c>
      <c r="C124" s="105">
        <v>209214</v>
      </c>
      <c r="D124" s="105">
        <v>30752</v>
      </c>
      <c r="E124" s="105">
        <v>3397</v>
      </c>
      <c r="F124" s="105"/>
      <c r="G124" s="105">
        <v>192</v>
      </c>
      <c r="H124" s="105">
        <v>959572</v>
      </c>
      <c r="I124" s="142">
        <v>24312</v>
      </c>
      <c r="J124" s="142">
        <v>15185</v>
      </c>
      <c r="K124" s="124"/>
      <c r="L124" s="105">
        <v>196404</v>
      </c>
      <c r="M124" s="105">
        <v>38601</v>
      </c>
      <c r="N124" s="105">
        <v>0</v>
      </c>
      <c r="O124" s="124">
        <v>1477629</v>
      </c>
      <c r="P124" s="6" t="s">
        <v>26</v>
      </c>
      <c r="Q124" s="112"/>
    </row>
    <row r="125" spans="1:17" ht="12.75" customHeight="1" hidden="1">
      <c r="A125" s="43" t="s">
        <v>114</v>
      </c>
      <c r="B125" s="124">
        <v>259143</v>
      </c>
      <c r="C125" s="105">
        <v>215952</v>
      </c>
      <c r="D125" s="105">
        <v>43191</v>
      </c>
      <c r="E125" s="105">
        <v>4332</v>
      </c>
      <c r="F125" s="105"/>
      <c r="G125" s="105">
        <v>180</v>
      </c>
      <c r="H125" s="105">
        <v>956926</v>
      </c>
      <c r="I125" s="142">
        <v>24107</v>
      </c>
      <c r="J125" s="142">
        <v>12239</v>
      </c>
      <c r="K125" s="124"/>
      <c r="L125" s="105">
        <v>187414</v>
      </c>
      <c r="M125" s="105">
        <v>42806</v>
      </c>
      <c r="N125" s="105">
        <v>0</v>
      </c>
      <c r="O125" s="124">
        <v>1487147</v>
      </c>
      <c r="P125" s="43" t="s">
        <v>114</v>
      </c>
      <c r="Q125" s="112"/>
    </row>
    <row r="126" spans="1:17" ht="12.75" customHeight="1" hidden="1">
      <c r="A126" s="6" t="s">
        <v>28</v>
      </c>
      <c r="B126" s="124">
        <v>268132</v>
      </c>
      <c r="C126" s="105">
        <v>219618</v>
      </c>
      <c r="D126" s="105">
        <v>48514</v>
      </c>
      <c r="E126" s="105">
        <v>5702</v>
      </c>
      <c r="F126" s="105"/>
      <c r="G126" s="105">
        <v>233</v>
      </c>
      <c r="H126" s="105">
        <v>947360</v>
      </c>
      <c r="I126" s="142">
        <v>24191</v>
      </c>
      <c r="J126" s="142">
        <v>13559</v>
      </c>
      <c r="K126" s="124"/>
      <c r="L126" s="105">
        <v>198507</v>
      </c>
      <c r="M126" s="105">
        <v>41738</v>
      </c>
      <c r="N126" s="105">
        <v>0</v>
      </c>
      <c r="O126" s="124">
        <v>1499422</v>
      </c>
      <c r="P126" s="6" t="s">
        <v>28</v>
      </c>
      <c r="Q126" s="112"/>
    </row>
    <row r="127" spans="1:17" ht="12.75" customHeight="1" hidden="1">
      <c r="A127" s="6" t="s">
        <v>29</v>
      </c>
      <c r="B127" s="124">
        <v>265801</v>
      </c>
      <c r="C127" s="105">
        <v>220718</v>
      </c>
      <c r="D127" s="105">
        <v>45089</v>
      </c>
      <c r="E127" s="105">
        <v>4575</v>
      </c>
      <c r="F127" s="105"/>
      <c r="G127" s="105">
        <v>203</v>
      </c>
      <c r="H127" s="105">
        <v>972902</v>
      </c>
      <c r="I127" s="142">
        <v>23917</v>
      </c>
      <c r="J127" s="142">
        <v>15112</v>
      </c>
      <c r="K127" s="124"/>
      <c r="L127" s="105">
        <v>137532</v>
      </c>
      <c r="M127" s="105">
        <v>42811</v>
      </c>
      <c r="N127" s="105">
        <v>0</v>
      </c>
      <c r="O127" s="124">
        <v>1462855</v>
      </c>
      <c r="P127" s="6" t="s">
        <v>29</v>
      </c>
      <c r="Q127" s="112"/>
    </row>
    <row r="128" spans="1:17" ht="12.75" customHeight="1" hidden="1">
      <c r="A128" s="6" t="s">
        <v>86</v>
      </c>
      <c r="B128" s="124">
        <v>260228</v>
      </c>
      <c r="C128" s="105">
        <v>219364</v>
      </c>
      <c r="D128" s="105">
        <v>40863</v>
      </c>
      <c r="E128" s="105">
        <v>4407</v>
      </c>
      <c r="F128" s="105"/>
      <c r="G128" s="105">
        <v>205</v>
      </c>
      <c r="H128" s="105">
        <v>1039262</v>
      </c>
      <c r="I128" s="142">
        <v>24266</v>
      </c>
      <c r="J128" s="142">
        <v>11915</v>
      </c>
      <c r="K128" s="124"/>
      <c r="L128" s="105">
        <v>135349</v>
      </c>
      <c r="M128" s="105">
        <v>46596</v>
      </c>
      <c r="N128" s="105">
        <v>0</v>
      </c>
      <c r="O128" s="124">
        <v>1522229</v>
      </c>
      <c r="P128" s="6" t="s">
        <v>86</v>
      </c>
      <c r="Q128" s="112"/>
    </row>
    <row r="129" spans="1:17" ht="12.75" customHeight="1" hidden="1">
      <c r="A129" s="6" t="s">
        <v>31</v>
      </c>
      <c r="B129" s="124">
        <f aca="true" t="shared" si="14" ref="B129:B135">C129+D129</f>
        <v>248951</v>
      </c>
      <c r="C129" s="105">
        <v>214596</v>
      </c>
      <c r="D129" s="105">
        <v>34355</v>
      </c>
      <c r="E129" s="105">
        <v>4681</v>
      </c>
      <c r="F129" s="105"/>
      <c r="G129" s="105">
        <v>276</v>
      </c>
      <c r="H129" s="105">
        <v>1029235</v>
      </c>
      <c r="I129" s="142">
        <v>24318</v>
      </c>
      <c r="J129" s="142">
        <v>14295</v>
      </c>
      <c r="K129" s="124"/>
      <c r="L129" s="105">
        <v>133554</v>
      </c>
      <c r="M129" s="105">
        <v>46132</v>
      </c>
      <c r="N129" s="105">
        <v>0</v>
      </c>
      <c r="O129" s="124">
        <v>1501443</v>
      </c>
      <c r="P129" s="6" t="s">
        <v>31</v>
      </c>
      <c r="Q129" s="112"/>
    </row>
    <row r="130" spans="1:17" ht="12.75" customHeight="1" hidden="1">
      <c r="A130" s="6" t="s">
        <v>32</v>
      </c>
      <c r="B130" s="124">
        <f t="shared" si="14"/>
        <v>260011</v>
      </c>
      <c r="C130" s="105">
        <v>213791</v>
      </c>
      <c r="D130" s="105">
        <v>46220</v>
      </c>
      <c r="E130" s="105">
        <v>3028</v>
      </c>
      <c r="F130" s="105"/>
      <c r="G130" s="105">
        <v>282</v>
      </c>
      <c r="H130" s="105">
        <v>1035887</v>
      </c>
      <c r="I130" s="142">
        <v>24438</v>
      </c>
      <c r="J130" s="142">
        <v>13096</v>
      </c>
      <c r="K130" s="124"/>
      <c r="L130" s="105">
        <v>137214</v>
      </c>
      <c r="M130" s="105">
        <v>44768</v>
      </c>
      <c r="N130" s="105">
        <v>0</v>
      </c>
      <c r="O130" s="124">
        <v>1518725</v>
      </c>
      <c r="P130" s="6" t="s">
        <v>32</v>
      </c>
      <c r="Q130" s="112"/>
    </row>
    <row r="131" spans="1:17" ht="12.75" customHeight="1" hidden="1">
      <c r="A131" s="6" t="s">
        <v>87</v>
      </c>
      <c r="B131" s="124">
        <f t="shared" si="14"/>
        <v>259226</v>
      </c>
      <c r="C131" s="105">
        <v>218711</v>
      </c>
      <c r="D131" s="105">
        <v>40515</v>
      </c>
      <c r="E131" s="105">
        <v>3748</v>
      </c>
      <c r="F131" s="105"/>
      <c r="G131" s="105">
        <v>184</v>
      </c>
      <c r="H131" s="105">
        <v>1028617</v>
      </c>
      <c r="I131" s="142">
        <v>24494</v>
      </c>
      <c r="J131" s="142">
        <v>13832</v>
      </c>
      <c r="K131" s="124"/>
      <c r="L131" s="105">
        <v>137164</v>
      </c>
      <c r="M131" s="105">
        <v>43765</v>
      </c>
      <c r="N131" s="105">
        <v>0</v>
      </c>
      <c r="O131" s="124">
        <v>1511029</v>
      </c>
      <c r="P131" s="6" t="s">
        <v>87</v>
      </c>
      <c r="Q131" s="112"/>
    </row>
    <row r="132" spans="1:18" ht="12.75" customHeight="1" hidden="1">
      <c r="A132" s="6" t="s">
        <v>35</v>
      </c>
      <c r="B132" s="124">
        <f t="shared" si="14"/>
        <v>0</v>
      </c>
      <c r="C132" s="123"/>
      <c r="D132" s="123"/>
      <c r="E132" s="123"/>
      <c r="F132" s="123"/>
      <c r="G132" s="123"/>
      <c r="H132" s="123"/>
      <c r="I132" s="154"/>
      <c r="J132" s="154"/>
      <c r="K132" s="96"/>
      <c r="L132" s="123"/>
      <c r="M132" s="123"/>
      <c r="N132" s="123"/>
      <c r="O132" s="96"/>
      <c r="P132" s="6"/>
      <c r="Q132" s="112"/>
      <c r="R132" s="106"/>
    </row>
    <row r="133" spans="1:18" ht="15" customHeight="1" hidden="1">
      <c r="A133" s="6" t="s">
        <v>35</v>
      </c>
      <c r="B133" s="124">
        <f t="shared" si="14"/>
        <v>253231</v>
      </c>
      <c r="C133" s="123">
        <v>221786</v>
      </c>
      <c r="D133" s="123">
        <v>31445</v>
      </c>
      <c r="E133" s="123">
        <v>3053</v>
      </c>
      <c r="F133" s="123"/>
      <c r="G133" s="123">
        <v>192</v>
      </c>
      <c r="H133" s="123">
        <v>1026121</v>
      </c>
      <c r="I133" s="154">
        <v>24691</v>
      </c>
      <c r="J133" s="154">
        <v>13195</v>
      </c>
      <c r="K133" s="96"/>
      <c r="L133" s="123">
        <v>141837</v>
      </c>
      <c r="M133" s="123">
        <v>43264</v>
      </c>
      <c r="N133" s="123">
        <v>0</v>
      </c>
      <c r="O133" s="96">
        <v>1505584</v>
      </c>
      <c r="P133" s="6" t="s">
        <v>35</v>
      </c>
      <c r="Q133" s="112"/>
      <c r="R133" s="106"/>
    </row>
    <row r="134" spans="1:18" ht="14.25" customHeight="1" hidden="1">
      <c r="A134" s="6" t="s">
        <v>36</v>
      </c>
      <c r="B134" s="124">
        <f t="shared" si="14"/>
        <v>261865</v>
      </c>
      <c r="C134" s="123">
        <v>227188</v>
      </c>
      <c r="D134" s="123">
        <v>34677</v>
      </c>
      <c r="E134" s="123">
        <v>3471</v>
      </c>
      <c r="F134" s="123"/>
      <c r="G134" s="123">
        <v>205</v>
      </c>
      <c r="H134" s="123">
        <v>1028381</v>
      </c>
      <c r="I134" s="154">
        <v>24552</v>
      </c>
      <c r="J134" s="154">
        <v>19960</v>
      </c>
      <c r="K134" s="96"/>
      <c r="L134" s="123">
        <v>134431</v>
      </c>
      <c r="M134" s="123">
        <v>44527</v>
      </c>
      <c r="N134" s="123">
        <v>0</v>
      </c>
      <c r="O134" s="96">
        <v>1517393</v>
      </c>
      <c r="P134" s="6" t="s">
        <v>36</v>
      </c>
      <c r="Q134" s="112"/>
      <c r="R134" s="106"/>
    </row>
    <row r="135" spans="1:18" ht="12.75" customHeight="1" hidden="1">
      <c r="A135" s="6" t="s">
        <v>88</v>
      </c>
      <c r="B135" s="124">
        <f t="shared" si="14"/>
        <v>304003</v>
      </c>
      <c r="C135" s="123">
        <v>255078</v>
      </c>
      <c r="D135" s="123">
        <v>48925</v>
      </c>
      <c r="E135" s="123">
        <v>4305</v>
      </c>
      <c r="F135" s="123"/>
      <c r="G135" s="123">
        <v>248</v>
      </c>
      <c r="H135" s="123">
        <v>1010214</v>
      </c>
      <c r="I135" s="154">
        <v>24678</v>
      </c>
      <c r="J135" s="154">
        <v>73049</v>
      </c>
      <c r="K135" s="96"/>
      <c r="L135" s="123">
        <v>135865</v>
      </c>
      <c r="M135" s="123">
        <v>45030</v>
      </c>
      <c r="N135" s="123">
        <v>0</v>
      </c>
      <c r="O135" s="96">
        <v>1597575</v>
      </c>
      <c r="P135" s="6" t="s">
        <v>88</v>
      </c>
      <c r="Q135" s="112"/>
      <c r="R135" s="106"/>
    </row>
    <row r="136" spans="1:18" ht="12.75" customHeight="1" hidden="1">
      <c r="A136" s="6"/>
      <c r="B136" s="124"/>
      <c r="C136" s="123"/>
      <c r="D136" s="123"/>
      <c r="E136" s="123"/>
      <c r="F136" s="123"/>
      <c r="G136" s="123"/>
      <c r="H136" s="123"/>
      <c r="I136" s="154"/>
      <c r="J136" s="154"/>
      <c r="K136" s="96"/>
      <c r="L136" s="123"/>
      <c r="M136" s="123"/>
      <c r="N136" s="123"/>
      <c r="O136" s="96"/>
      <c r="P136" s="6"/>
      <c r="Q136" s="112"/>
      <c r="R136" s="106"/>
    </row>
    <row r="137" spans="1:18" ht="12.75" customHeight="1" hidden="1">
      <c r="A137" s="6">
        <v>2006</v>
      </c>
      <c r="B137" s="124"/>
      <c r="C137" s="123"/>
      <c r="D137" s="123"/>
      <c r="E137" s="123"/>
      <c r="F137" s="123"/>
      <c r="G137" s="123"/>
      <c r="H137" s="123"/>
      <c r="I137" s="154"/>
      <c r="J137" s="154"/>
      <c r="K137" s="96"/>
      <c r="L137" s="123"/>
      <c r="M137" s="123"/>
      <c r="N137" s="123"/>
      <c r="O137" s="96"/>
      <c r="P137" s="63">
        <v>2006</v>
      </c>
      <c r="Q137" s="112"/>
      <c r="R137" s="106"/>
    </row>
    <row r="138" spans="1:18" ht="12.75" customHeight="1" hidden="1">
      <c r="A138" s="6" t="s">
        <v>25</v>
      </c>
      <c r="B138" s="124">
        <f>C138+D138</f>
        <v>284585</v>
      </c>
      <c r="C138" s="123">
        <v>231328</v>
      </c>
      <c r="D138" s="123">
        <v>53257</v>
      </c>
      <c r="E138" s="123">
        <v>6531</v>
      </c>
      <c r="F138" s="123"/>
      <c r="G138" s="123">
        <v>195</v>
      </c>
      <c r="H138" s="123">
        <v>1035642</v>
      </c>
      <c r="I138" s="154">
        <v>24636</v>
      </c>
      <c r="J138" s="154">
        <v>88292</v>
      </c>
      <c r="K138" s="96"/>
      <c r="L138" s="123">
        <v>138182</v>
      </c>
      <c r="M138" s="123">
        <v>44579</v>
      </c>
      <c r="N138" s="123">
        <v>0</v>
      </c>
      <c r="O138" s="96">
        <v>1622641</v>
      </c>
      <c r="P138" s="6" t="s">
        <v>25</v>
      </c>
      <c r="Q138" s="112"/>
      <c r="R138" s="106"/>
    </row>
    <row r="139" spans="1:18" ht="12.75" customHeight="1" hidden="1">
      <c r="A139" s="6" t="s">
        <v>26</v>
      </c>
      <c r="B139" s="124">
        <f>C139+D139</f>
        <v>292454</v>
      </c>
      <c r="C139" s="123">
        <v>237315</v>
      </c>
      <c r="D139" s="123">
        <v>55139</v>
      </c>
      <c r="E139" s="123">
        <v>3214</v>
      </c>
      <c r="F139" s="123"/>
      <c r="G139" s="123">
        <v>164</v>
      </c>
      <c r="H139" s="123">
        <v>1039140</v>
      </c>
      <c r="I139" s="154">
        <v>24787</v>
      </c>
      <c r="J139" s="154">
        <v>61934</v>
      </c>
      <c r="K139" s="96"/>
      <c r="L139" s="123">
        <v>139092</v>
      </c>
      <c r="M139" s="123">
        <v>44865</v>
      </c>
      <c r="N139" s="123">
        <v>156942</v>
      </c>
      <c r="O139" s="96">
        <v>1762594</v>
      </c>
      <c r="P139" s="6" t="s">
        <v>26</v>
      </c>
      <c r="Q139" s="112"/>
      <c r="R139" s="106"/>
    </row>
    <row r="140" spans="1:18" ht="12.75" customHeight="1" hidden="1">
      <c r="A140" s="43" t="s">
        <v>114</v>
      </c>
      <c r="B140" s="124">
        <f>C140+D140</f>
        <v>294312</v>
      </c>
      <c r="C140" s="123">
        <v>248695</v>
      </c>
      <c r="D140" s="123">
        <v>45617</v>
      </c>
      <c r="E140" s="123">
        <v>6319</v>
      </c>
      <c r="F140" s="123"/>
      <c r="G140" s="123">
        <v>222</v>
      </c>
      <c r="H140" s="123">
        <v>1038755</v>
      </c>
      <c r="I140" s="154">
        <v>24813</v>
      </c>
      <c r="J140" s="154">
        <v>50986</v>
      </c>
      <c r="K140" s="96"/>
      <c r="L140" s="123">
        <v>140355</v>
      </c>
      <c r="M140" s="123">
        <v>43264</v>
      </c>
      <c r="N140" s="123">
        <v>0</v>
      </c>
      <c r="O140" s="96">
        <v>1599027</v>
      </c>
      <c r="P140" s="6" t="s">
        <v>114</v>
      </c>
      <c r="Q140" s="112"/>
      <c r="R140" s="106"/>
    </row>
    <row r="141" spans="1:18" ht="12.75" customHeight="1" hidden="1">
      <c r="A141" s="6" t="s">
        <v>28</v>
      </c>
      <c r="B141" s="124">
        <f>C141+D141</f>
        <v>302882</v>
      </c>
      <c r="C141" s="123">
        <v>253819</v>
      </c>
      <c r="D141" s="123">
        <v>49063</v>
      </c>
      <c r="E141" s="123">
        <v>8173</v>
      </c>
      <c r="F141" s="123"/>
      <c r="G141" s="123">
        <v>220</v>
      </c>
      <c r="H141" s="123">
        <v>1039956</v>
      </c>
      <c r="I141" s="154">
        <v>24725</v>
      </c>
      <c r="J141" s="154">
        <v>36538</v>
      </c>
      <c r="K141" s="96"/>
      <c r="L141" s="123">
        <v>141838</v>
      </c>
      <c r="M141" s="123">
        <v>42788</v>
      </c>
      <c r="N141" s="123">
        <v>0</v>
      </c>
      <c r="O141" s="96">
        <v>1597120</v>
      </c>
      <c r="P141" s="6" t="s">
        <v>28</v>
      </c>
      <c r="Q141" s="112"/>
      <c r="R141" s="106"/>
    </row>
    <row r="142" spans="1:18" ht="12.75" customHeight="1" hidden="1">
      <c r="A142" s="6" t="s">
        <v>29</v>
      </c>
      <c r="B142" s="124">
        <f aca="true" t="shared" si="15" ref="B142:B148">C142+D142</f>
        <v>303366</v>
      </c>
      <c r="C142" s="123">
        <v>249139</v>
      </c>
      <c r="D142" s="123">
        <v>54227</v>
      </c>
      <c r="E142" s="123">
        <v>5980</v>
      </c>
      <c r="F142" s="123"/>
      <c r="G142" s="123">
        <v>233</v>
      </c>
      <c r="H142" s="123">
        <v>934213</v>
      </c>
      <c r="I142" s="154">
        <v>24870</v>
      </c>
      <c r="J142" s="154">
        <v>27947</v>
      </c>
      <c r="K142" s="96"/>
      <c r="L142" s="123">
        <v>291487</v>
      </c>
      <c r="M142" s="123">
        <v>41081</v>
      </c>
      <c r="N142" s="123">
        <v>0</v>
      </c>
      <c r="O142" s="96">
        <v>1629584</v>
      </c>
      <c r="P142" s="6" t="s">
        <v>29</v>
      </c>
      <c r="Q142" s="112"/>
      <c r="R142" s="106"/>
    </row>
    <row r="143" spans="1:18" ht="12.75" customHeight="1" hidden="1">
      <c r="A143" s="6" t="s">
        <v>86</v>
      </c>
      <c r="B143" s="124">
        <f t="shared" si="15"/>
        <v>285779</v>
      </c>
      <c r="C143" s="123">
        <v>248272</v>
      </c>
      <c r="D143" s="123">
        <v>37507</v>
      </c>
      <c r="E143" s="123">
        <v>5906</v>
      </c>
      <c r="F143" s="123"/>
      <c r="G143" s="123">
        <v>244</v>
      </c>
      <c r="H143" s="123">
        <v>926859</v>
      </c>
      <c r="I143" s="154">
        <v>25046</v>
      </c>
      <c r="J143" s="154">
        <v>113734</v>
      </c>
      <c r="K143" s="96"/>
      <c r="L143" s="123">
        <v>290943</v>
      </c>
      <c r="M143" s="123">
        <v>41821</v>
      </c>
      <c r="N143" s="123">
        <v>0</v>
      </c>
      <c r="O143" s="96">
        <v>1690330</v>
      </c>
      <c r="P143" s="6" t="s">
        <v>86</v>
      </c>
      <c r="Q143" s="112"/>
      <c r="R143" s="106"/>
    </row>
    <row r="144" spans="1:18" ht="12.75" customHeight="1" hidden="1">
      <c r="A144" s="6" t="s">
        <v>31</v>
      </c>
      <c r="B144" s="124">
        <f t="shared" si="15"/>
        <v>282270</v>
      </c>
      <c r="C144" s="123">
        <v>244190</v>
      </c>
      <c r="D144" s="96">
        <v>38080</v>
      </c>
      <c r="E144" s="123">
        <v>6289</v>
      </c>
      <c r="F144" s="123"/>
      <c r="G144" s="123">
        <v>225</v>
      </c>
      <c r="H144" s="123">
        <v>932012</v>
      </c>
      <c r="I144" s="154">
        <v>24986</v>
      </c>
      <c r="J144" s="154">
        <v>97832</v>
      </c>
      <c r="K144" s="96"/>
      <c r="L144" s="123">
        <v>295887</v>
      </c>
      <c r="M144" s="123">
        <v>41383</v>
      </c>
      <c r="N144" s="123">
        <v>0</v>
      </c>
      <c r="O144" s="96">
        <v>1680885</v>
      </c>
      <c r="P144" s="6" t="s">
        <v>31</v>
      </c>
      <c r="Q144" s="112"/>
      <c r="R144" s="106"/>
    </row>
    <row r="145" spans="1:18" ht="12.75" customHeight="1" hidden="1">
      <c r="A145" s="6" t="s">
        <v>32</v>
      </c>
      <c r="B145" s="124">
        <f t="shared" si="15"/>
        <v>331878</v>
      </c>
      <c r="C145" s="123">
        <v>242718</v>
      </c>
      <c r="D145" s="96">
        <v>89160</v>
      </c>
      <c r="E145" s="123">
        <v>4272</v>
      </c>
      <c r="F145" s="123"/>
      <c r="G145" s="123">
        <v>237</v>
      </c>
      <c r="H145" s="123">
        <v>933035</v>
      </c>
      <c r="I145" s="154">
        <v>24973</v>
      </c>
      <c r="J145" s="154">
        <v>37850</v>
      </c>
      <c r="K145" s="96"/>
      <c r="L145" s="123">
        <v>299254</v>
      </c>
      <c r="M145" s="123">
        <v>41264</v>
      </c>
      <c r="N145" s="123">
        <v>0</v>
      </c>
      <c r="O145" s="96">
        <v>1642162</v>
      </c>
      <c r="P145" s="6" t="s">
        <v>32</v>
      </c>
      <c r="Q145" s="112"/>
      <c r="R145" s="106"/>
    </row>
    <row r="146" spans="1:18" ht="12.75" customHeight="1" hidden="1">
      <c r="A146" s="6" t="s">
        <v>87</v>
      </c>
      <c r="B146" s="124">
        <f t="shared" si="15"/>
        <v>305465</v>
      </c>
      <c r="C146" s="123">
        <v>249834</v>
      </c>
      <c r="D146" s="96">
        <v>55631</v>
      </c>
      <c r="E146" s="123">
        <v>3263</v>
      </c>
      <c r="F146" s="123"/>
      <c r="G146" s="123">
        <v>301</v>
      </c>
      <c r="H146" s="123">
        <v>933560</v>
      </c>
      <c r="I146" s="154">
        <v>25124</v>
      </c>
      <c r="J146" s="154">
        <v>20906</v>
      </c>
      <c r="K146" s="96"/>
      <c r="L146" s="123">
        <v>298325</v>
      </c>
      <c r="M146" s="123">
        <v>39111</v>
      </c>
      <c r="N146" s="123">
        <v>0</v>
      </c>
      <c r="O146" s="96">
        <v>1626055</v>
      </c>
      <c r="P146" s="6" t="s">
        <v>87</v>
      </c>
      <c r="Q146" s="112"/>
      <c r="R146" s="106"/>
    </row>
    <row r="147" spans="1:18" ht="12.75" customHeight="1" hidden="1">
      <c r="A147" s="6" t="s">
        <v>35</v>
      </c>
      <c r="B147" s="124">
        <f t="shared" si="15"/>
        <v>318890</v>
      </c>
      <c r="C147" s="123">
        <v>257385</v>
      </c>
      <c r="D147" s="96">
        <v>61505</v>
      </c>
      <c r="E147" s="123">
        <v>4299</v>
      </c>
      <c r="F147" s="123"/>
      <c r="G147" s="123">
        <v>473</v>
      </c>
      <c r="H147" s="123">
        <v>930284</v>
      </c>
      <c r="I147" s="154">
        <v>25135</v>
      </c>
      <c r="J147" s="154">
        <v>14343</v>
      </c>
      <c r="K147" s="96"/>
      <c r="L147" s="123">
        <v>301063</v>
      </c>
      <c r="M147" s="123">
        <v>40306</v>
      </c>
      <c r="N147" s="123">
        <v>0</v>
      </c>
      <c r="O147" s="96">
        <v>1634792</v>
      </c>
      <c r="P147" s="6" t="s">
        <v>35</v>
      </c>
      <c r="Q147" s="112"/>
      <c r="R147" s="106"/>
    </row>
    <row r="148" spans="1:18" ht="12.75" customHeight="1" hidden="1">
      <c r="A148" s="6" t="s">
        <v>36</v>
      </c>
      <c r="B148" s="124">
        <f t="shared" si="15"/>
        <v>318051</v>
      </c>
      <c r="C148" s="123">
        <v>256373</v>
      </c>
      <c r="D148" s="96">
        <v>61678</v>
      </c>
      <c r="E148" s="123">
        <v>4689</v>
      </c>
      <c r="F148" s="123"/>
      <c r="G148" s="123">
        <v>344</v>
      </c>
      <c r="H148" s="123">
        <v>937273</v>
      </c>
      <c r="I148" s="154">
        <v>25122</v>
      </c>
      <c r="J148" s="154">
        <v>16505</v>
      </c>
      <c r="K148" s="96">
        <v>29043</v>
      </c>
      <c r="L148" s="123">
        <v>304631</v>
      </c>
      <c r="M148" s="123">
        <v>41500</v>
      </c>
      <c r="N148" s="123">
        <v>0</v>
      </c>
      <c r="O148" s="96">
        <v>1677157</v>
      </c>
      <c r="P148" s="6" t="s">
        <v>36</v>
      </c>
      <c r="Q148" s="112"/>
      <c r="R148" s="106"/>
    </row>
    <row r="149" spans="1:18" s="126" customFormat="1" ht="12.75" customHeight="1" hidden="1">
      <c r="A149" s="151" t="s">
        <v>88</v>
      </c>
      <c r="B149" s="124">
        <v>336335</v>
      </c>
      <c r="C149" s="96">
        <v>294682</v>
      </c>
      <c r="D149" s="124">
        <v>41652</v>
      </c>
      <c r="E149" s="96">
        <v>3908</v>
      </c>
      <c r="F149" s="96"/>
      <c r="G149" s="96">
        <v>161</v>
      </c>
      <c r="H149" s="124">
        <v>452628</v>
      </c>
      <c r="I149" s="192">
        <v>25026</v>
      </c>
      <c r="J149" s="191">
        <v>13281</v>
      </c>
      <c r="K149" s="96">
        <v>48392</v>
      </c>
      <c r="L149" s="124">
        <v>330131</v>
      </c>
      <c r="M149" s="96">
        <v>42877</v>
      </c>
      <c r="N149" s="96">
        <v>0</v>
      </c>
      <c r="O149" s="124">
        <v>1777730</v>
      </c>
      <c r="P149" s="151" t="s">
        <v>88</v>
      </c>
      <c r="Q149" s="125"/>
      <c r="R149" s="107"/>
    </row>
    <row r="150" spans="1:18" ht="12.75" customHeight="1" hidden="1">
      <c r="A150" s="6"/>
      <c r="B150" s="124"/>
      <c r="C150" s="123"/>
      <c r="D150" s="96"/>
      <c r="E150" s="123"/>
      <c r="F150" s="123"/>
      <c r="G150" s="123"/>
      <c r="H150" s="123"/>
      <c r="I150" s="154"/>
      <c r="J150" s="154"/>
      <c r="K150" s="96"/>
      <c r="L150" s="123"/>
      <c r="M150" s="123"/>
      <c r="N150" s="123"/>
      <c r="O150" s="96"/>
      <c r="P150" s="6"/>
      <c r="Q150" s="112"/>
      <c r="R150" s="106"/>
    </row>
    <row r="151" spans="1:18" ht="12.75" customHeight="1" hidden="1">
      <c r="A151" s="6">
        <v>2007</v>
      </c>
      <c r="B151" s="124"/>
      <c r="C151" s="123"/>
      <c r="D151" s="96"/>
      <c r="E151" s="123"/>
      <c r="F151" s="123"/>
      <c r="G151" s="123"/>
      <c r="H151" s="123"/>
      <c r="I151" s="154"/>
      <c r="J151" s="154"/>
      <c r="K151" s="96"/>
      <c r="L151" s="123"/>
      <c r="M151" s="123"/>
      <c r="N151" s="123"/>
      <c r="O151" s="96"/>
      <c r="P151" s="63">
        <v>2007</v>
      </c>
      <c r="Q151" s="112"/>
      <c r="R151" s="106"/>
    </row>
    <row r="152" spans="1:18" ht="12.75" customHeight="1" hidden="1">
      <c r="A152" s="6" t="s">
        <v>25</v>
      </c>
      <c r="B152" s="124">
        <v>335432</v>
      </c>
      <c r="C152" s="123">
        <v>280890</v>
      </c>
      <c r="D152" s="96">
        <v>54543</v>
      </c>
      <c r="E152" s="123">
        <v>7293</v>
      </c>
      <c r="F152" s="123"/>
      <c r="G152" s="123">
        <v>359</v>
      </c>
      <c r="H152" s="123">
        <v>452491</v>
      </c>
      <c r="I152" s="154">
        <v>25164</v>
      </c>
      <c r="J152" s="154">
        <v>17748</v>
      </c>
      <c r="K152" s="96">
        <v>48392</v>
      </c>
      <c r="L152" s="123">
        <v>331916</v>
      </c>
      <c r="M152" s="123">
        <v>44374</v>
      </c>
      <c r="N152" s="123">
        <v>0</v>
      </c>
      <c r="O152" s="99">
        <v>1786044</v>
      </c>
      <c r="P152" s="6" t="s">
        <v>25</v>
      </c>
      <c r="Q152" s="112"/>
      <c r="R152" s="106"/>
    </row>
    <row r="153" spans="1:18" ht="12.75" customHeight="1" hidden="1">
      <c r="A153" s="6" t="s">
        <v>26</v>
      </c>
      <c r="B153" s="124">
        <v>328510</v>
      </c>
      <c r="C153" s="123">
        <v>290629</v>
      </c>
      <c r="D153" s="96">
        <v>37881</v>
      </c>
      <c r="E153" s="123">
        <v>5041</v>
      </c>
      <c r="F153" s="123"/>
      <c r="G153" s="123">
        <v>200</v>
      </c>
      <c r="H153" s="123">
        <v>453681</v>
      </c>
      <c r="I153" s="154">
        <v>25124</v>
      </c>
      <c r="J153" s="154">
        <v>17112</v>
      </c>
      <c r="K153" s="96">
        <v>48463</v>
      </c>
      <c r="L153" s="123">
        <v>332245</v>
      </c>
      <c r="M153" s="123">
        <v>50036</v>
      </c>
      <c r="N153" s="123">
        <v>0</v>
      </c>
      <c r="O153" s="99">
        <v>1787562</v>
      </c>
      <c r="P153" s="6" t="s">
        <v>26</v>
      </c>
      <c r="Q153" s="112"/>
      <c r="R153" s="106"/>
    </row>
    <row r="154" spans="1:18" ht="12.75" customHeight="1" hidden="1">
      <c r="A154" s="43" t="s">
        <v>114</v>
      </c>
      <c r="B154" s="124">
        <v>348200</v>
      </c>
      <c r="C154" s="123">
        <v>306622</v>
      </c>
      <c r="D154" s="96">
        <v>41572</v>
      </c>
      <c r="E154" s="123">
        <v>5790</v>
      </c>
      <c r="F154" s="123"/>
      <c r="G154" s="123">
        <v>304</v>
      </c>
      <c r="H154" s="123">
        <v>457452</v>
      </c>
      <c r="I154" s="154">
        <v>25117</v>
      </c>
      <c r="J154" s="154">
        <v>13598</v>
      </c>
      <c r="K154" s="96">
        <v>48499</v>
      </c>
      <c r="L154" s="123">
        <v>333993</v>
      </c>
      <c r="M154" s="123">
        <v>49308</v>
      </c>
      <c r="N154" s="123">
        <v>0</v>
      </c>
      <c r="O154" s="99">
        <v>1806508</v>
      </c>
      <c r="P154" s="6" t="s">
        <v>27</v>
      </c>
      <c r="Q154" s="112"/>
      <c r="R154" s="106"/>
    </row>
    <row r="155" spans="1:18" ht="12.75" customHeight="1" hidden="1">
      <c r="A155" s="6" t="s">
        <v>28</v>
      </c>
      <c r="B155" s="124">
        <v>364306</v>
      </c>
      <c r="C155" s="123">
        <v>308980</v>
      </c>
      <c r="D155" s="96">
        <v>55327</v>
      </c>
      <c r="E155" s="123">
        <v>4629</v>
      </c>
      <c r="F155" s="123"/>
      <c r="G155" s="123">
        <v>281</v>
      </c>
      <c r="H155" s="123">
        <v>471377</v>
      </c>
      <c r="I155" s="154">
        <v>25155</v>
      </c>
      <c r="J155" s="154">
        <v>12045</v>
      </c>
      <c r="K155" s="96">
        <v>48499</v>
      </c>
      <c r="L155" s="123">
        <v>343493</v>
      </c>
      <c r="M155" s="123">
        <v>49917</v>
      </c>
      <c r="N155" s="123">
        <v>0</v>
      </c>
      <c r="O155" s="99">
        <v>1843950</v>
      </c>
      <c r="P155" s="6" t="s">
        <v>28</v>
      </c>
      <c r="Q155" s="112"/>
      <c r="R155" s="106"/>
    </row>
    <row r="156" spans="1:18" ht="12.75" customHeight="1" hidden="1">
      <c r="A156" s="6" t="s">
        <v>29</v>
      </c>
      <c r="B156" s="124">
        <v>342784</v>
      </c>
      <c r="C156" s="123">
        <v>303441</v>
      </c>
      <c r="D156" s="96">
        <v>39343</v>
      </c>
      <c r="E156" s="123">
        <v>7184</v>
      </c>
      <c r="F156" s="123"/>
      <c r="G156" s="123">
        <v>246</v>
      </c>
      <c r="H156" s="123">
        <v>623589</v>
      </c>
      <c r="I156" s="154">
        <v>25113</v>
      </c>
      <c r="J156" s="154">
        <v>15271</v>
      </c>
      <c r="K156" s="96">
        <v>50557</v>
      </c>
      <c r="L156" s="123">
        <v>169302</v>
      </c>
      <c r="M156" s="123">
        <v>52998</v>
      </c>
      <c r="N156" s="123">
        <v>0</v>
      </c>
      <c r="O156" s="99">
        <v>1811293</v>
      </c>
      <c r="P156" s="6" t="s">
        <v>29</v>
      </c>
      <c r="Q156" s="112"/>
      <c r="R156" s="106"/>
    </row>
    <row r="157" spans="1:18" ht="12.75" customHeight="1" hidden="1">
      <c r="A157" s="6" t="s">
        <v>86</v>
      </c>
      <c r="B157" s="124">
        <v>341759</v>
      </c>
      <c r="C157" s="123">
        <v>299570</v>
      </c>
      <c r="D157" s="96">
        <v>42190</v>
      </c>
      <c r="E157" s="123">
        <v>5812</v>
      </c>
      <c r="F157" s="123"/>
      <c r="G157" s="123">
        <v>173</v>
      </c>
      <c r="H157" s="123">
        <v>624861</v>
      </c>
      <c r="I157" s="154">
        <v>25138</v>
      </c>
      <c r="J157" s="154">
        <v>29306</v>
      </c>
      <c r="K157" s="96">
        <v>50378</v>
      </c>
      <c r="L157" s="123">
        <v>173669</v>
      </c>
      <c r="M157" s="123">
        <v>59941</v>
      </c>
      <c r="N157" s="123">
        <v>0</v>
      </c>
      <c r="O157" s="99">
        <v>1835286</v>
      </c>
      <c r="P157" s="6" t="s">
        <v>30</v>
      </c>
      <c r="Q157" s="112"/>
      <c r="R157" s="106"/>
    </row>
    <row r="158" spans="1:18" ht="12.75" customHeight="1" hidden="1">
      <c r="A158" s="6" t="s">
        <v>31</v>
      </c>
      <c r="B158" s="124">
        <v>368291</v>
      </c>
      <c r="C158" s="123">
        <v>306856</v>
      </c>
      <c r="D158" s="96">
        <v>61434</v>
      </c>
      <c r="E158" s="123">
        <v>6460</v>
      </c>
      <c r="F158" s="123"/>
      <c r="G158" s="123">
        <v>166</v>
      </c>
      <c r="H158" s="123">
        <v>624816</v>
      </c>
      <c r="I158" s="154">
        <v>25116</v>
      </c>
      <c r="J158" s="154">
        <v>13901</v>
      </c>
      <c r="K158" s="96">
        <v>50378</v>
      </c>
      <c r="L158" s="123">
        <v>180763</v>
      </c>
      <c r="M158" s="123">
        <v>48198</v>
      </c>
      <c r="N158" s="123">
        <v>0</v>
      </c>
      <c r="O158" s="99">
        <v>1842337</v>
      </c>
      <c r="P158" s="6" t="s">
        <v>31</v>
      </c>
      <c r="Q158" s="112"/>
      <c r="R158" s="106"/>
    </row>
    <row r="159" spans="1:18" ht="12.75" customHeight="1" hidden="1">
      <c r="A159" s="6" t="s">
        <v>32</v>
      </c>
      <c r="B159" s="124">
        <v>363995</v>
      </c>
      <c r="C159" s="123">
        <v>298251</v>
      </c>
      <c r="D159" s="123">
        <v>65744</v>
      </c>
      <c r="E159" s="123">
        <v>13842</v>
      </c>
      <c r="F159" s="123"/>
      <c r="G159" s="123">
        <v>165</v>
      </c>
      <c r="H159" s="123">
        <v>629753</v>
      </c>
      <c r="I159" s="154">
        <v>25100</v>
      </c>
      <c r="J159" s="154">
        <v>23928</v>
      </c>
      <c r="K159" s="96">
        <v>50152</v>
      </c>
      <c r="L159" s="123">
        <v>182446</v>
      </c>
      <c r="M159" s="123">
        <v>47393</v>
      </c>
      <c r="N159" s="123">
        <v>0</v>
      </c>
      <c r="O159" s="99">
        <v>1861021</v>
      </c>
      <c r="P159" s="6" t="s">
        <v>32</v>
      </c>
      <c r="Q159" s="112"/>
      <c r="R159" s="106"/>
    </row>
    <row r="160" spans="1:18" ht="12.75" customHeight="1" hidden="1">
      <c r="A160" s="6" t="s">
        <v>87</v>
      </c>
      <c r="B160" s="123">
        <v>344280</v>
      </c>
      <c r="C160" s="123">
        <v>291091</v>
      </c>
      <c r="D160" s="123">
        <v>53189</v>
      </c>
      <c r="E160" s="123">
        <v>4347</v>
      </c>
      <c r="F160" s="123"/>
      <c r="G160" s="123">
        <v>153</v>
      </c>
      <c r="H160" s="123">
        <v>628395</v>
      </c>
      <c r="I160" s="154">
        <v>25108</v>
      </c>
      <c r="J160" s="154">
        <v>13345</v>
      </c>
      <c r="K160" s="96">
        <v>49983</v>
      </c>
      <c r="L160" s="123">
        <v>196930</v>
      </c>
      <c r="M160" s="123">
        <v>43325</v>
      </c>
      <c r="N160" s="123">
        <v>0</v>
      </c>
      <c r="O160" s="99">
        <v>1830113</v>
      </c>
      <c r="P160" s="6" t="s">
        <v>33</v>
      </c>
      <c r="Q160" s="112"/>
      <c r="R160" s="106"/>
    </row>
    <row r="161" spans="1:18" ht="15" customHeight="1" hidden="1">
      <c r="A161" s="6" t="s">
        <v>35</v>
      </c>
      <c r="B161" s="123">
        <v>358128.6370478601</v>
      </c>
      <c r="C161" s="123">
        <v>296775.34201872005</v>
      </c>
      <c r="D161" s="123">
        <v>61353.29502914002</v>
      </c>
      <c r="E161" s="123">
        <v>4242.949241119999</v>
      </c>
      <c r="F161" s="123"/>
      <c r="G161" s="123">
        <v>185.30165205999998</v>
      </c>
      <c r="H161" s="123">
        <v>629675.9122939</v>
      </c>
      <c r="I161" s="154">
        <v>25134.094791919997</v>
      </c>
      <c r="J161" s="154">
        <v>10924.689675460031</v>
      </c>
      <c r="K161" s="96">
        <v>49983</v>
      </c>
      <c r="L161" s="123">
        <v>207095.16784091998</v>
      </c>
      <c r="M161" s="123">
        <v>44869.142382289996</v>
      </c>
      <c r="N161" s="123">
        <v>0</v>
      </c>
      <c r="O161" s="96">
        <v>1854486.90866753</v>
      </c>
      <c r="P161" s="6" t="s">
        <v>35</v>
      </c>
      <c r="Q161" s="112"/>
      <c r="R161" s="106"/>
    </row>
    <row r="162" spans="1:18" ht="15" customHeight="1" hidden="1">
      <c r="A162" s="6" t="s">
        <v>36</v>
      </c>
      <c r="B162" s="123">
        <v>359346.97616853006</v>
      </c>
      <c r="C162" s="123">
        <v>308978.2296313901</v>
      </c>
      <c r="D162" s="123">
        <v>50368.74653713999</v>
      </c>
      <c r="E162" s="123">
        <v>4004.3492411199995</v>
      </c>
      <c r="F162" s="123"/>
      <c r="G162" s="123">
        <v>282.52424580999997</v>
      </c>
      <c r="H162" s="123">
        <v>630297.97372296</v>
      </c>
      <c r="I162" s="154">
        <v>25101.10732336</v>
      </c>
      <c r="J162" s="154">
        <v>11273.707318119956</v>
      </c>
      <c r="K162" s="96">
        <v>50026.25</v>
      </c>
      <c r="L162" s="123">
        <v>216225.97300755998</v>
      </c>
      <c r="M162" s="123">
        <v>68339.29475251</v>
      </c>
      <c r="N162" s="123">
        <v>0</v>
      </c>
      <c r="O162" s="96">
        <v>1869346.1695219697</v>
      </c>
      <c r="P162" s="6" t="s">
        <v>36</v>
      </c>
      <c r="Q162" s="112"/>
      <c r="R162" s="106"/>
    </row>
    <row r="163" spans="1:18" ht="15" customHeight="1" hidden="1">
      <c r="A163" s="151" t="s">
        <v>88</v>
      </c>
      <c r="B163" s="123">
        <v>423758.43371446006</v>
      </c>
      <c r="C163" s="123">
        <v>350165.20707817003</v>
      </c>
      <c r="D163" s="123">
        <v>73593.22663629003</v>
      </c>
      <c r="E163" s="123">
        <v>6844.54924112</v>
      </c>
      <c r="F163" s="123"/>
      <c r="G163" s="123">
        <v>136.86559793000004</v>
      </c>
      <c r="H163" s="123">
        <v>582379.98927688</v>
      </c>
      <c r="I163" s="154">
        <v>25056.92767797</v>
      </c>
      <c r="J163" s="154">
        <v>63293.21626166</v>
      </c>
      <c r="K163" s="96">
        <v>50045.3056</v>
      </c>
      <c r="L163" s="123">
        <v>229781.27798978</v>
      </c>
      <c r="M163" s="123">
        <v>44599.98872788001</v>
      </c>
      <c r="N163" s="123">
        <v>0</v>
      </c>
      <c r="O163" s="96">
        <v>1911937.4058632802</v>
      </c>
      <c r="P163" s="6" t="s">
        <v>37</v>
      </c>
      <c r="Q163" s="112"/>
      <c r="R163" s="106"/>
    </row>
    <row r="164" spans="1:18" ht="12.75" customHeight="1" hidden="1">
      <c r="A164" s="6"/>
      <c r="B164" s="123"/>
      <c r="C164" s="123"/>
      <c r="D164" s="123"/>
      <c r="E164" s="123"/>
      <c r="F164" s="123"/>
      <c r="G164" s="123"/>
      <c r="H164" s="123"/>
      <c r="I164" s="154"/>
      <c r="J164" s="154"/>
      <c r="K164" s="96"/>
      <c r="L164" s="123"/>
      <c r="M164" s="123"/>
      <c r="N164" s="123"/>
      <c r="O164" s="96"/>
      <c r="P164" s="6"/>
      <c r="Q164" s="112"/>
      <c r="R164" s="106"/>
    </row>
    <row r="165" spans="1:18" ht="12.75" customHeight="1" hidden="1">
      <c r="A165" s="6">
        <v>2008</v>
      </c>
      <c r="B165" s="123"/>
      <c r="C165" s="123"/>
      <c r="D165" s="123"/>
      <c r="E165" s="123"/>
      <c r="F165" s="123"/>
      <c r="G165" s="123"/>
      <c r="H165" s="123"/>
      <c r="I165" s="154"/>
      <c r="J165" s="154"/>
      <c r="K165" s="96"/>
      <c r="L165" s="123"/>
      <c r="M165" s="123"/>
      <c r="N165" s="123"/>
      <c r="O165" s="96"/>
      <c r="P165" s="63">
        <v>2008</v>
      </c>
      <c r="Q165" s="112"/>
      <c r="R165" s="106"/>
    </row>
    <row r="166" spans="1:18" ht="15" customHeight="1" hidden="1">
      <c r="A166" s="6" t="s">
        <v>25</v>
      </c>
      <c r="B166" s="123">
        <f aca="true" t="shared" si="16" ref="B166:B176">SUM(C166:E166)</f>
        <v>404641.40287125</v>
      </c>
      <c r="C166" s="123">
        <v>333324.12316241</v>
      </c>
      <c r="D166" s="123">
        <v>62801.43046772</v>
      </c>
      <c r="E166" s="123">
        <v>8515.849241119999</v>
      </c>
      <c r="F166" s="123"/>
      <c r="G166" s="123">
        <v>151.33715755</v>
      </c>
      <c r="H166" s="123">
        <v>582538.9039266399</v>
      </c>
      <c r="I166" s="154">
        <v>25032.860290200002</v>
      </c>
      <c r="J166" s="154">
        <v>57661.656070439996</v>
      </c>
      <c r="K166" s="96">
        <v>50064.3056</v>
      </c>
      <c r="L166" s="123">
        <v>229451.74984762998</v>
      </c>
      <c r="M166" s="123">
        <v>46011.22657696001</v>
      </c>
      <c r="N166" s="123">
        <v>0</v>
      </c>
      <c r="O166" s="96">
        <v>1872594.40804923</v>
      </c>
      <c r="P166" s="6" t="s">
        <v>25</v>
      </c>
      <c r="Q166" s="112"/>
      <c r="R166" s="106"/>
    </row>
    <row r="167" spans="1:18" ht="15" customHeight="1" hidden="1">
      <c r="A167" s="6" t="s">
        <v>26</v>
      </c>
      <c r="B167" s="123">
        <f t="shared" si="16"/>
        <v>400865.0162099401</v>
      </c>
      <c r="C167" s="123">
        <v>332776.71492448007</v>
      </c>
      <c r="D167" s="123">
        <v>59363.80204433999</v>
      </c>
      <c r="E167" s="123">
        <v>8724.49924112</v>
      </c>
      <c r="F167" s="123"/>
      <c r="G167" s="123">
        <v>175.91334618999997</v>
      </c>
      <c r="H167" s="123">
        <v>583745.3916560101</v>
      </c>
      <c r="I167" s="154">
        <v>25019.480169029997</v>
      </c>
      <c r="J167" s="154">
        <v>38408.57212816997</v>
      </c>
      <c r="K167" s="96">
        <v>50103.5556</v>
      </c>
      <c r="L167" s="123">
        <v>238457.40150203998</v>
      </c>
      <c r="M167" s="123">
        <v>47827.10317829001</v>
      </c>
      <c r="N167" s="123">
        <v>0</v>
      </c>
      <c r="O167" s="96">
        <v>1833038.63632755</v>
      </c>
      <c r="P167" s="6" t="s">
        <v>26</v>
      </c>
      <c r="Q167" s="112"/>
      <c r="R167" s="106"/>
    </row>
    <row r="168" spans="1:18" ht="15" customHeight="1" hidden="1">
      <c r="A168" s="43" t="s">
        <v>114</v>
      </c>
      <c r="B168" s="123">
        <f t="shared" si="16"/>
        <v>418215.74217700004</v>
      </c>
      <c r="C168" s="123">
        <v>334354.83707746</v>
      </c>
      <c r="D168" s="123">
        <v>77751.30585842002</v>
      </c>
      <c r="E168" s="123">
        <v>6109.59924112</v>
      </c>
      <c r="F168" s="123"/>
      <c r="G168" s="123">
        <v>235.95317993999998</v>
      </c>
      <c r="H168" s="123">
        <v>587771.41488672</v>
      </c>
      <c r="I168" s="154">
        <v>25001.13509723</v>
      </c>
      <c r="J168" s="154">
        <v>52221.024495399965</v>
      </c>
      <c r="K168" s="96">
        <v>50172</v>
      </c>
      <c r="L168" s="123">
        <v>245445.0313401398</v>
      </c>
      <c r="M168" s="123">
        <v>46812.764138709994</v>
      </c>
      <c r="N168" s="123">
        <v>0</v>
      </c>
      <c r="O168" s="96">
        <v>1854721.26785302</v>
      </c>
      <c r="P168" s="6" t="s">
        <v>27</v>
      </c>
      <c r="Q168" s="112"/>
      <c r="R168" s="106"/>
    </row>
    <row r="169" spans="1:18" ht="15" customHeight="1" hidden="1">
      <c r="A169" s="6" t="s">
        <v>28</v>
      </c>
      <c r="B169" s="123">
        <f t="shared" si="16"/>
        <v>415487.1666466601</v>
      </c>
      <c r="C169" s="123">
        <v>344698.0693448501</v>
      </c>
      <c r="D169" s="123">
        <v>65024.098060690005</v>
      </c>
      <c r="E169" s="123">
        <v>5764.999241119999</v>
      </c>
      <c r="F169" s="123"/>
      <c r="G169" s="123">
        <v>305.34085994</v>
      </c>
      <c r="H169" s="123">
        <v>603669.53704931</v>
      </c>
      <c r="I169" s="154">
        <v>24991.5418028</v>
      </c>
      <c r="J169" s="154">
        <v>37087.33981007013</v>
      </c>
      <c r="K169" s="96">
        <v>50172</v>
      </c>
      <c r="L169" s="123">
        <v>221668.2908971593</v>
      </c>
      <c r="M169" s="123">
        <v>44103.74264254</v>
      </c>
      <c r="N169" s="123">
        <v>0</v>
      </c>
      <c r="O169" s="96">
        <v>1820533.5490151797</v>
      </c>
      <c r="P169" s="6" t="s">
        <v>28</v>
      </c>
      <c r="Q169" s="112"/>
      <c r="R169" s="106"/>
    </row>
    <row r="170" spans="1:18" ht="15" customHeight="1" hidden="1">
      <c r="A170" s="6" t="s">
        <v>29</v>
      </c>
      <c r="B170" s="123">
        <f t="shared" si="16"/>
        <v>414941.68872501</v>
      </c>
      <c r="C170" s="123">
        <v>342087.19297633</v>
      </c>
      <c r="D170" s="123">
        <v>67228.79650756</v>
      </c>
      <c r="E170" s="123">
        <v>5625.699241119999</v>
      </c>
      <c r="F170" s="123"/>
      <c r="G170" s="123">
        <v>570.53117244</v>
      </c>
      <c r="H170" s="123">
        <v>613372.28626978</v>
      </c>
      <c r="I170" s="154">
        <v>24998.947152880002</v>
      </c>
      <c r="J170" s="154">
        <v>27617.351317910077</v>
      </c>
      <c r="K170" s="96">
        <v>50337.1</v>
      </c>
      <c r="L170" s="123">
        <v>217204.94638300998</v>
      </c>
      <c r="M170" s="123">
        <v>54995.579942129996</v>
      </c>
      <c r="N170" s="123">
        <v>0</v>
      </c>
      <c r="O170" s="96">
        <v>1817654.2559443405</v>
      </c>
      <c r="P170" s="6" t="s">
        <v>29</v>
      </c>
      <c r="Q170" s="112"/>
      <c r="R170" s="106"/>
    </row>
    <row r="171" spans="1:18" ht="15" customHeight="1" hidden="1">
      <c r="A171" s="6" t="s">
        <v>86</v>
      </c>
      <c r="B171" s="123">
        <f t="shared" si="16"/>
        <v>435295.97724607</v>
      </c>
      <c r="C171" s="123">
        <v>350698.52139142</v>
      </c>
      <c r="D171" s="123">
        <v>80472.85661353</v>
      </c>
      <c r="E171" s="123">
        <v>4124.599241119999</v>
      </c>
      <c r="F171" s="123"/>
      <c r="G171" s="123">
        <v>545.7753224400001</v>
      </c>
      <c r="H171" s="123">
        <v>614204.83644389</v>
      </c>
      <c r="I171" s="154">
        <v>24991.37349939</v>
      </c>
      <c r="J171" s="154">
        <v>20028.483232140177</v>
      </c>
      <c r="K171" s="96">
        <v>50486.6</v>
      </c>
      <c r="L171" s="123">
        <v>211785.91198771</v>
      </c>
      <c r="M171" s="123">
        <v>42813.55891518</v>
      </c>
      <c r="N171" s="123">
        <v>0</v>
      </c>
      <c r="O171" s="96">
        <v>1805924.6894591001</v>
      </c>
      <c r="P171" s="6" t="s">
        <v>30</v>
      </c>
      <c r="Q171" s="112"/>
      <c r="R171" s="106"/>
    </row>
    <row r="172" spans="1:18" ht="15" customHeight="1" hidden="1">
      <c r="A172" s="6" t="s">
        <v>31</v>
      </c>
      <c r="B172" s="123">
        <f t="shared" si="16"/>
        <v>437852.73870647006</v>
      </c>
      <c r="C172" s="123">
        <v>343815.44788571005</v>
      </c>
      <c r="D172" s="123">
        <v>89630.94157964001</v>
      </c>
      <c r="E172" s="123">
        <v>4406.349241119999</v>
      </c>
      <c r="F172" s="123"/>
      <c r="G172" s="123">
        <v>539.5485224399999</v>
      </c>
      <c r="H172" s="123">
        <v>634012.2178363801</v>
      </c>
      <c r="I172" s="154">
        <v>24992.804078380002</v>
      </c>
      <c r="J172" s="154">
        <v>20691.69270519016</v>
      </c>
      <c r="K172" s="96">
        <v>50546.6</v>
      </c>
      <c r="L172" s="123">
        <v>208350.63330777</v>
      </c>
      <c r="M172" s="123">
        <v>54923.35456718</v>
      </c>
      <c r="N172" s="123">
        <v>0</v>
      </c>
      <c r="O172" s="96">
        <v>1819736.6314596406</v>
      </c>
      <c r="P172" s="6" t="s">
        <v>31</v>
      </c>
      <c r="Q172" s="112"/>
      <c r="R172" s="106"/>
    </row>
    <row r="173" spans="1:18" ht="15" customHeight="1" hidden="1">
      <c r="A173" s="6" t="s">
        <v>32</v>
      </c>
      <c r="B173" s="123">
        <f t="shared" si="16"/>
        <v>474588.12627002003</v>
      </c>
      <c r="C173" s="123">
        <v>353116.42020115006</v>
      </c>
      <c r="D173" s="123">
        <v>115652.35682774999</v>
      </c>
      <c r="E173" s="123">
        <v>5819.349241119999</v>
      </c>
      <c r="F173" s="123"/>
      <c r="G173" s="123">
        <v>541.0401649400001</v>
      </c>
      <c r="H173" s="123">
        <v>629882.56250287</v>
      </c>
      <c r="I173" s="154">
        <v>24972.439365650003</v>
      </c>
      <c r="J173" s="154">
        <v>53050</v>
      </c>
      <c r="K173" s="96">
        <v>50684</v>
      </c>
      <c r="L173" s="123">
        <v>168541.4643098</v>
      </c>
      <c r="M173" s="123">
        <v>41348.25822913</v>
      </c>
      <c r="N173" s="123">
        <v>0</v>
      </c>
      <c r="O173" s="96">
        <v>1822109.78145646</v>
      </c>
      <c r="P173" s="6" t="s">
        <v>32</v>
      </c>
      <c r="Q173" s="112"/>
      <c r="R173" s="106"/>
    </row>
    <row r="174" spans="1:18" ht="12.75" customHeight="1" hidden="1">
      <c r="A174" s="6" t="s">
        <v>87</v>
      </c>
      <c r="B174" s="123">
        <f t="shared" si="16"/>
        <v>468343.52035562</v>
      </c>
      <c r="C174" s="123">
        <v>365804.91112607</v>
      </c>
      <c r="D174" s="123">
        <v>98411.75998842999</v>
      </c>
      <c r="E174" s="123">
        <v>4126.8492411199995</v>
      </c>
      <c r="F174" s="123"/>
      <c r="G174" s="123">
        <v>822.63473494</v>
      </c>
      <c r="H174" s="123">
        <v>630066.5961147802</v>
      </c>
      <c r="I174" s="154">
        <v>25087.30644366</v>
      </c>
      <c r="J174" s="154">
        <v>33736.41325638969</v>
      </c>
      <c r="K174" s="96">
        <v>65317</v>
      </c>
      <c r="L174" s="123">
        <v>163521.69005383993</v>
      </c>
      <c r="M174" s="123">
        <v>42111.24945447</v>
      </c>
      <c r="N174" s="123">
        <v>0</v>
      </c>
      <c r="O174" s="96">
        <v>1799477.0414445398</v>
      </c>
      <c r="P174" s="6" t="s">
        <v>33</v>
      </c>
      <c r="Q174" s="112"/>
      <c r="R174" s="106"/>
    </row>
    <row r="175" spans="1:18" ht="12.75" customHeight="1" hidden="1">
      <c r="A175" s="6" t="s">
        <v>35</v>
      </c>
      <c r="B175" s="123">
        <f t="shared" si="16"/>
        <v>454390.07131344</v>
      </c>
      <c r="C175" s="123">
        <v>351412.6883284</v>
      </c>
      <c r="D175" s="123">
        <v>98285.48374392002</v>
      </c>
      <c r="E175" s="123">
        <v>4691.899241120001</v>
      </c>
      <c r="F175" s="123"/>
      <c r="G175" s="123">
        <v>1043.5662624400002</v>
      </c>
      <c r="H175" s="123">
        <v>624394.9374477001</v>
      </c>
      <c r="I175" s="154">
        <v>25251.7388762</v>
      </c>
      <c r="J175" s="154">
        <v>19533.315263669978</v>
      </c>
      <c r="K175" s="96">
        <v>84857</v>
      </c>
      <c r="L175" s="123">
        <v>125433.11517530998</v>
      </c>
      <c r="M175" s="123">
        <v>41788.9347353</v>
      </c>
      <c r="N175" s="123">
        <v>0</v>
      </c>
      <c r="O175" s="96">
        <v>1744280.5931644</v>
      </c>
      <c r="P175" s="6" t="s">
        <v>35</v>
      </c>
      <c r="Q175" s="112"/>
      <c r="R175" s="106"/>
    </row>
    <row r="176" spans="1:18" ht="12.75" customHeight="1" hidden="1">
      <c r="A176" s="6" t="s">
        <v>36</v>
      </c>
      <c r="B176" s="123">
        <f t="shared" si="16"/>
        <v>450458.97909985995</v>
      </c>
      <c r="C176" s="123">
        <v>356002.31807612</v>
      </c>
      <c r="D176" s="123">
        <v>89289.56178261999</v>
      </c>
      <c r="E176" s="123">
        <v>5167.0992411199995</v>
      </c>
      <c r="F176" s="123"/>
      <c r="G176" s="123">
        <v>1006.20213244</v>
      </c>
      <c r="H176" s="123">
        <v>627285.5500744</v>
      </c>
      <c r="I176" s="154">
        <v>25449.0746256</v>
      </c>
      <c r="J176" s="154">
        <v>25657.996069550365</v>
      </c>
      <c r="K176" s="96">
        <v>92399.5</v>
      </c>
      <c r="L176" s="123">
        <v>130959.69768860997</v>
      </c>
      <c r="M176" s="123">
        <v>42687.75214969</v>
      </c>
      <c r="N176" s="123">
        <v>0</v>
      </c>
      <c r="O176" s="96">
        <v>1763492.6659304905</v>
      </c>
      <c r="P176" s="6" t="s">
        <v>36</v>
      </c>
      <c r="Q176" s="112"/>
      <c r="R176" s="106"/>
    </row>
    <row r="177" spans="1:18" ht="12.75" customHeight="1" hidden="1">
      <c r="A177" s="151" t="s">
        <v>88</v>
      </c>
      <c r="B177" s="123">
        <f>SUM(C177:E177)</f>
        <v>472040.07248522</v>
      </c>
      <c r="C177" s="123">
        <v>383298.7238463</v>
      </c>
      <c r="D177" s="123">
        <v>83502.5211478</v>
      </c>
      <c r="E177" s="123">
        <v>5238.82749112</v>
      </c>
      <c r="F177" s="123"/>
      <c r="G177" s="123">
        <v>1508.8702988</v>
      </c>
      <c r="H177" s="123">
        <v>668804.5532872301</v>
      </c>
      <c r="I177" s="154">
        <v>25600.88430232</v>
      </c>
      <c r="J177" s="154">
        <v>14475.960073740007</v>
      </c>
      <c r="K177" s="96">
        <v>97640.2</v>
      </c>
      <c r="L177" s="123">
        <v>169623.94301943004</v>
      </c>
      <c r="M177" s="123">
        <v>45033.595152450005</v>
      </c>
      <c r="N177" s="123">
        <v>0</v>
      </c>
      <c r="O177" s="96">
        <v>1859893.5068479602</v>
      </c>
      <c r="P177" s="6" t="s">
        <v>37</v>
      </c>
      <c r="Q177" s="112"/>
      <c r="R177" s="106"/>
    </row>
    <row r="178" spans="1:18" ht="12.75" customHeight="1" hidden="1">
      <c r="A178" s="6"/>
      <c r="B178" s="123"/>
      <c r="C178" s="123"/>
      <c r="D178" s="123"/>
      <c r="E178" s="123"/>
      <c r="F178" s="123"/>
      <c r="G178" s="123"/>
      <c r="H178" s="123"/>
      <c r="I178" s="154"/>
      <c r="J178" s="154"/>
      <c r="K178" s="96"/>
      <c r="L178" s="123"/>
      <c r="M178" s="123"/>
      <c r="N178" s="123"/>
      <c r="O178" s="96"/>
      <c r="P178" s="6"/>
      <c r="Q178" s="112"/>
      <c r="R178" s="106"/>
    </row>
    <row r="179" spans="1:18" ht="12.75" customHeight="1" hidden="1">
      <c r="A179" s="6">
        <v>2009</v>
      </c>
      <c r="B179" s="123"/>
      <c r="C179" s="123"/>
      <c r="D179" s="123"/>
      <c r="E179" s="123"/>
      <c r="F179" s="123"/>
      <c r="G179" s="123"/>
      <c r="H179" s="123"/>
      <c r="I179" s="154"/>
      <c r="J179" s="154"/>
      <c r="K179" s="96"/>
      <c r="L179" s="123"/>
      <c r="M179" s="123"/>
      <c r="N179" s="123"/>
      <c r="O179" s="96"/>
      <c r="P179" s="63">
        <v>2009</v>
      </c>
      <c r="Q179" s="112"/>
      <c r="R179" s="106"/>
    </row>
    <row r="180" spans="1:18" ht="12.75" customHeight="1" hidden="1">
      <c r="A180" s="6" t="s">
        <v>25</v>
      </c>
      <c r="B180" s="123">
        <f aca="true" t="shared" si="17" ref="B180:B190">SUM(C180:E180)</f>
        <v>441222.27465037996</v>
      </c>
      <c r="C180" s="123">
        <v>368001.42692012</v>
      </c>
      <c r="D180" s="123">
        <v>69453.07023913995</v>
      </c>
      <c r="E180" s="123">
        <v>3767.77749112</v>
      </c>
      <c r="F180" s="123"/>
      <c r="G180" s="123">
        <v>1308.03459012</v>
      </c>
      <c r="H180" s="123">
        <v>681663.59240291</v>
      </c>
      <c r="I180" s="154">
        <v>25735.77948624</v>
      </c>
      <c r="J180" s="154">
        <v>58716.31131720002</v>
      </c>
      <c r="K180" s="96">
        <v>100229.2</v>
      </c>
      <c r="L180" s="123">
        <v>149182.98649587</v>
      </c>
      <c r="M180" s="123">
        <v>44129.74025278</v>
      </c>
      <c r="N180" s="123">
        <v>0</v>
      </c>
      <c r="O180" s="96">
        <v>1869775.83328584</v>
      </c>
      <c r="P180" s="6" t="s">
        <v>25</v>
      </c>
      <c r="Q180" s="112"/>
      <c r="R180" s="106"/>
    </row>
    <row r="181" spans="1:18" ht="12.75" customHeight="1" hidden="1">
      <c r="A181" s="6" t="s">
        <v>26</v>
      </c>
      <c r="B181" s="123">
        <f t="shared" si="17"/>
        <v>457423.86801228</v>
      </c>
      <c r="C181" s="123">
        <v>369902.59040783</v>
      </c>
      <c r="D181" s="123">
        <v>84173.46894428</v>
      </c>
      <c r="E181" s="123">
        <v>3347.8086601699993</v>
      </c>
      <c r="F181" s="123"/>
      <c r="G181" s="123">
        <v>1390.37336262</v>
      </c>
      <c r="H181" s="123">
        <v>658875.20785463</v>
      </c>
      <c r="I181" s="154">
        <v>25921.75475539</v>
      </c>
      <c r="J181" s="154">
        <v>27266.95766502999</v>
      </c>
      <c r="K181" s="96">
        <v>105156.60805</v>
      </c>
      <c r="L181" s="123">
        <v>141500.47762832005</v>
      </c>
      <c r="M181" s="123">
        <v>45457.22309164</v>
      </c>
      <c r="N181" s="123">
        <v>0</v>
      </c>
      <c r="O181" s="96">
        <v>1814422.19983018</v>
      </c>
      <c r="P181" s="6" t="s">
        <v>26</v>
      </c>
      <c r="Q181" s="112"/>
      <c r="R181" s="106"/>
    </row>
    <row r="182" spans="1:18" ht="12.75" customHeight="1" hidden="1">
      <c r="A182" s="43" t="s">
        <v>114</v>
      </c>
      <c r="B182" s="123">
        <f t="shared" si="17"/>
        <v>458279.96345256</v>
      </c>
      <c r="C182" s="123">
        <v>373251.85003663</v>
      </c>
      <c r="D182" s="123">
        <v>82010.60475576</v>
      </c>
      <c r="E182" s="123">
        <v>3017.5086601699995</v>
      </c>
      <c r="F182" s="123"/>
      <c r="G182" s="123">
        <v>1395.4118476200001</v>
      </c>
      <c r="H182" s="123">
        <v>664214.9655172401</v>
      </c>
      <c r="I182" s="154">
        <v>26381.47552254</v>
      </c>
      <c r="J182" s="154">
        <v>62031.77231860997</v>
      </c>
      <c r="K182" s="96">
        <v>107597.00805</v>
      </c>
      <c r="L182" s="123">
        <v>164098.73457201998</v>
      </c>
      <c r="M182" s="123">
        <v>44346.5455744</v>
      </c>
      <c r="N182" s="123">
        <v>0</v>
      </c>
      <c r="O182" s="96">
        <v>1878264.43804527</v>
      </c>
      <c r="P182" s="6" t="s">
        <v>27</v>
      </c>
      <c r="Q182" s="112"/>
      <c r="R182" s="106"/>
    </row>
    <row r="183" spans="1:18" ht="12.75" customHeight="1" hidden="1">
      <c r="A183" s="6" t="s">
        <v>28</v>
      </c>
      <c r="B183" s="123">
        <f t="shared" si="17"/>
        <v>454089.61262797</v>
      </c>
      <c r="C183" s="123">
        <v>367055.29224402003</v>
      </c>
      <c r="D183" s="123">
        <v>84100.56172377995</v>
      </c>
      <c r="E183" s="123">
        <v>2933.7586601699995</v>
      </c>
      <c r="F183" s="123"/>
      <c r="G183" s="123">
        <v>564.01654876</v>
      </c>
      <c r="H183" s="123">
        <v>666839.1404439001</v>
      </c>
      <c r="I183" s="154">
        <v>26643.60808518</v>
      </c>
      <c r="J183" s="154">
        <v>46021.09908474012</v>
      </c>
      <c r="K183" s="96">
        <v>112483.00805</v>
      </c>
      <c r="L183" s="123">
        <v>173984.88990626</v>
      </c>
      <c r="M183" s="123">
        <v>44258.52344302</v>
      </c>
      <c r="N183" s="123">
        <v>0</v>
      </c>
      <c r="O183" s="96">
        <v>1874802.45938011</v>
      </c>
      <c r="P183" s="6" t="s">
        <v>28</v>
      </c>
      <c r="Q183" s="112"/>
      <c r="R183" s="106"/>
    </row>
    <row r="184" spans="1:18" ht="16.5" customHeight="1" hidden="1">
      <c r="A184" s="6" t="s">
        <v>29</v>
      </c>
      <c r="B184" s="123">
        <f t="shared" si="17"/>
        <v>469934.44875352003</v>
      </c>
      <c r="C184" s="123">
        <v>372963.51625845005</v>
      </c>
      <c r="D184" s="123">
        <v>94174.57383490002</v>
      </c>
      <c r="E184" s="123">
        <v>2796.35866017</v>
      </c>
      <c r="F184" s="123"/>
      <c r="G184" s="123">
        <v>990.1637112600001</v>
      </c>
      <c r="H184" s="123">
        <v>673628.5427752901</v>
      </c>
      <c r="I184" s="154">
        <v>27022.62736675</v>
      </c>
      <c r="J184" s="154">
        <v>28159.885854390104</v>
      </c>
      <c r="K184" s="96">
        <v>112470.53938</v>
      </c>
      <c r="L184" s="123">
        <v>206704.44214083994</v>
      </c>
      <c r="M184" s="123">
        <v>45248.69972745</v>
      </c>
      <c r="N184" s="123">
        <v>0</v>
      </c>
      <c r="O184" s="96">
        <v>1922929.17556908</v>
      </c>
      <c r="P184" s="6" t="s">
        <v>29</v>
      </c>
      <c r="Q184" s="112"/>
      <c r="R184" s="106"/>
    </row>
    <row r="185" spans="1:18" ht="16.5" customHeight="1" hidden="1">
      <c r="A185" s="6" t="s">
        <v>86</v>
      </c>
      <c r="B185" s="123">
        <f t="shared" si="17"/>
        <v>460613.23465146</v>
      </c>
      <c r="C185" s="123">
        <v>369993.58055528003</v>
      </c>
      <c r="D185" s="123">
        <v>87833.29543600998</v>
      </c>
      <c r="E185" s="123">
        <v>2786.35866017</v>
      </c>
      <c r="F185" s="123"/>
      <c r="G185" s="123">
        <v>639.08223626</v>
      </c>
      <c r="H185" s="123">
        <v>743205.62228823</v>
      </c>
      <c r="I185" s="154">
        <v>27669.16492011</v>
      </c>
      <c r="J185" s="154">
        <v>21190.05665485001</v>
      </c>
      <c r="K185" s="96">
        <v>117290.93938</v>
      </c>
      <c r="L185" s="123">
        <v>234874.58214192</v>
      </c>
      <c r="M185" s="123">
        <v>46837.69087939001</v>
      </c>
      <c r="N185" s="123">
        <v>0</v>
      </c>
      <c r="O185" s="96">
        <v>1996952.1488327303</v>
      </c>
      <c r="P185" s="6" t="s">
        <v>30</v>
      </c>
      <c r="Q185" s="112"/>
      <c r="R185" s="106"/>
    </row>
    <row r="186" spans="1:18" ht="16.5" customHeight="1" hidden="1">
      <c r="A186" s="6" t="s">
        <v>31</v>
      </c>
      <c r="B186" s="123">
        <f t="shared" si="17"/>
        <v>483130</v>
      </c>
      <c r="C186" s="123">
        <v>375353</v>
      </c>
      <c r="D186" s="123">
        <v>105041</v>
      </c>
      <c r="E186" s="123">
        <v>2736</v>
      </c>
      <c r="F186" s="123"/>
      <c r="G186" s="123">
        <v>622</v>
      </c>
      <c r="H186" s="123">
        <v>738096</v>
      </c>
      <c r="I186" s="154">
        <v>28149</v>
      </c>
      <c r="J186" s="154">
        <v>27288</v>
      </c>
      <c r="K186" s="96">
        <v>119726</v>
      </c>
      <c r="L186" s="123">
        <v>260904</v>
      </c>
      <c r="M186" s="123">
        <v>45064</v>
      </c>
      <c r="N186" s="123">
        <v>0</v>
      </c>
      <c r="O186" s="96">
        <v>2047611</v>
      </c>
      <c r="P186" s="6" t="s">
        <v>31</v>
      </c>
      <c r="Q186" s="112"/>
      <c r="R186" s="106"/>
    </row>
    <row r="187" spans="1:18" ht="16.5" customHeight="1" hidden="1">
      <c r="A187" s="6" t="s">
        <v>32</v>
      </c>
      <c r="B187" s="123">
        <f t="shared" si="17"/>
        <v>465504</v>
      </c>
      <c r="C187" s="123">
        <v>379923</v>
      </c>
      <c r="D187" s="123">
        <v>82992</v>
      </c>
      <c r="E187" s="123">
        <v>2589</v>
      </c>
      <c r="F187" s="123"/>
      <c r="G187" s="123">
        <v>847</v>
      </c>
      <c r="H187" s="123">
        <v>773383</v>
      </c>
      <c r="I187" s="154">
        <v>29898</v>
      </c>
      <c r="J187" s="154">
        <v>39152</v>
      </c>
      <c r="K187" s="96">
        <v>124596</v>
      </c>
      <c r="L187" s="123">
        <v>331164</v>
      </c>
      <c r="M187" s="123">
        <v>61308</v>
      </c>
      <c r="N187" s="123">
        <v>0</v>
      </c>
      <c r="O187" s="96">
        <v>2150461</v>
      </c>
      <c r="P187" s="6" t="s">
        <v>32</v>
      </c>
      <c r="Q187" s="112"/>
      <c r="R187" s="106"/>
    </row>
    <row r="188" spans="1:18" ht="16.5" customHeight="1" hidden="1">
      <c r="A188" s="6" t="s">
        <v>87</v>
      </c>
      <c r="B188" s="123">
        <f t="shared" si="17"/>
        <v>470445.94853068</v>
      </c>
      <c r="C188" s="123">
        <v>394954.0255261</v>
      </c>
      <c r="D188" s="123">
        <v>73249.92300457996</v>
      </c>
      <c r="E188" s="123">
        <v>2242</v>
      </c>
      <c r="F188" s="123"/>
      <c r="G188" s="123">
        <v>544</v>
      </c>
      <c r="H188" s="123">
        <v>779312</v>
      </c>
      <c r="I188" s="154">
        <v>30374</v>
      </c>
      <c r="J188" s="154">
        <v>18691</v>
      </c>
      <c r="K188" s="96">
        <v>124472</v>
      </c>
      <c r="L188" s="123">
        <v>775935</v>
      </c>
      <c r="M188" s="123">
        <v>52813</v>
      </c>
      <c r="N188" s="123">
        <v>0</v>
      </c>
      <c r="O188" s="96">
        <v>2577196</v>
      </c>
      <c r="P188" s="6" t="s">
        <v>33</v>
      </c>
      <c r="Q188" s="112"/>
      <c r="R188" s="106"/>
    </row>
    <row r="189" spans="1:18" ht="16.5" customHeight="1" hidden="1">
      <c r="A189" s="6" t="s">
        <v>35</v>
      </c>
      <c r="B189" s="123">
        <f t="shared" si="17"/>
        <v>506668.30373353</v>
      </c>
      <c r="C189" s="123">
        <v>411310.91691489</v>
      </c>
      <c r="D189" s="123">
        <v>93116.27815846998</v>
      </c>
      <c r="E189" s="123">
        <v>2241.10866017</v>
      </c>
      <c r="F189" s="123"/>
      <c r="G189" s="123">
        <v>200.20566712000002</v>
      </c>
      <c r="H189" s="123">
        <v>793803.97732453</v>
      </c>
      <c r="I189" s="154">
        <v>31736.13269522</v>
      </c>
      <c r="J189" s="154">
        <v>25358.457333899918</v>
      </c>
      <c r="K189" s="96">
        <v>124229.8</v>
      </c>
      <c r="L189" s="123">
        <v>896353.9613073498</v>
      </c>
      <c r="M189" s="123">
        <v>47646.55154739</v>
      </c>
      <c r="N189" s="123">
        <v>0</v>
      </c>
      <c r="O189" s="96">
        <v>2750606.60415159</v>
      </c>
      <c r="P189" s="6" t="s">
        <v>35</v>
      </c>
      <c r="Q189" s="112"/>
      <c r="R189" s="106"/>
    </row>
    <row r="190" spans="1:18" ht="16.5" customHeight="1" hidden="1">
      <c r="A190" s="6" t="s">
        <v>36</v>
      </c>
      <c r="B190" s="123">
        <f t="shared" si="17"/>
        <v>507651.3406115</v>
      </c>
      <c r="C190" s="123">
        <v>431442.3406115</v>
      </c>
      <c r="D190" s="123">
        <v>73968</v>
      </c>
      <c r="E190" s="123">
        <v>2241</v>
      </c>
      <c r="F190" s="123"/>
      <c r="G190" s="123">
        <v>380.77882576</v>
      </c>
      <c r="H190" s="123">
        <v>807561.1935815201</v>
      </c>
      <c r="I190" s="154">
        <v>32888.75860545</v>
      </c>
      <c r="J190" s="154">
        <v>29258.719922329583</v>
      </c>
      <c r="K190" s="96">
        <v>128812.219625</v>
      </c>
      <c r="L190" s="123">
        <v>963612.08770697</v>
      </c>
      <c r="M190" s="123">
        <v>47249.20844803</v>
      </c>
      <c r="N190" s="123">
        <v>0</v>
      </c>
      <c r="O190" s="96">
        <v>2842023.31622693</v>
      </c>
      <c r="P190" s="6" t="s">
        <v>36</v>
      </c>
      <c r="Q190" s="112"/>
      <c r="R190" s="106"/>
    </row>
    <row r="191" spans="1:18" ht="16.5" customHeight="1" hidden="1">
      <c r="A191" s="151" t="s">
        <v>88</v>
      </c>
      <c r="B191" s="123">
        <f>SUM(C191:E191)</f>
        <v>565271.84312389</v>
      </c>
      <c r="C191" s="123">
        <v>486437.84312389005</v>
      </c>
      <c r="D191" s="123">
        <v>76595</v>
      </c>
      <c r="E191" s="123">
        <v>2239</v>
      </c>
      <c r="F191" s="123"/>
      <c r="G191" s="123">
        <v>1157.84212576</v>
      </c>
      <c r="H191" s="123">
        <v>794866.5344525101</v>
      </c>
      <c r="I191" s="154">
        <v>32446.20478622</v>
      </c>
      <c r="J191" s="154">
        <v>22348.40690920001</v>
      </c>
      <c r="K191" s="96">
        <v>128475.206475</v>
      </c>
      <c r="L191" s="123">
        <v>901895.2627950299</v>
      </c>
      <c r="M191" s="123">
        <v>57293.17823343</v>
      </c>
      <c r="N191" s="123">
        <v>0</v>
      </c>
      <c r="O191" s="96">
        <v>2821337.31200035</v>
      </c>
      <c r="P191" s="6" t="s">
        <v>37</v>
      </c>
      <c r="Q191" s="112"/>
      <c r="R191" s="106"/>
    </row>
    <row r="192" spans="1:18" ht="12.75" customHeight="1">
      <c r="A192" s="6"/>
      <c r="C192" s="123"/>
      <c r="D192" s="123"/>
      <c r="E192" s="123"/>
      <c r="F192" s="123"/>
      <c r="G192" s="123"/>
      <c r="H192" s="123"/>
      <c r="I192" s="154"/>
      <c r="J192" s="154"/>
      <c r="K192" s="96"/>
      <c r="L192" s="123"/>
      <c r="M192" s="123"/>
      <c r="N192" s="123"/>
      <c r="O192" s="96"/>
      <c r="Q192" s="112"/>
      <c r="R192" s="106"/>
    </row>
    <row r="193" spans="1:18" ht="12.75" customHeight="1">
      <c r="A193" s="6">
        <v>2010</v>
      </c>
      <c r="P193" s="63">
        <v>2010</v>
      </c>
      <c r="Q193" s="112"/>
      <c r="R193" s="106"/>
    </row>
    <row r="194" spans="1:16" ht="12.75">
      <c r="A194" s="6" t="s">
        <v>25</v>
      </c>
      <c r="B194" s="123">
        <f aca="true" t="shared" si="18" ref="B194:B204">SUM(C194:E194)</f>
        <v>538084</v>
      </c>
      <c r="C194" s="123">
        <v>454707</v>
      </c>
      <c r="D194" s="123">
        <f>55772+6645+5510+11974+1244</f>
        <v>81145</v>
      </c>
      <c r="E194" s="123">
        <v>2232</v>
      </c>
      <c r="F194" s="123"/>
      <c r="G194" s="123">
        <v>998</v>
      </c>
      <c r="H194" s="123">
        <v>871574</v>
      </c>
      <c r="I194" s="154">
        <v>32878</v>
      </c>
      <c r="J194" s="154">
        <v>32131</v>
      </c>
      <c r="K194" s="96">
        <v>128284</v>
      </c>
      <c r="L194" s="123">
        <v>932196</v>
      </c>
      <c r="M194" s="123">
        <v>56871</v>
      </c>
      <c r="N194" s="123">
        <v>0</v>
      </c>
      <c r="O194" s="96">
        <v>2910601</v>
      </c>
      <c r="P194" s="6" t="s">
        <v>25</v>
      </c>
    </row>
    <row r="195" spans="1:16" ht="12.75">
      <c r="A195" s="6" t="s">
        <v>26</v>
      </c>
      <c r="B195" s="123">
        <f t="shared" si="18"/>
        <v>545324</v>
      </c>
      <c r="C195" s="123">
        <v>447728</v>
      </c>
      <c r="D195" s="123">
        <v>95364</v>
      </c>
      <c r="E195" s="123">
        <v>2232</v>
      </c>
      <c r="F195" s="123"/>
      <c r="G195" s="123">
        <v>1360</v>
      </c>
      <c r="H195" s="123">
        <v>863202</v>
      </c>
      <c r="I195" s="154">
        <v>32421</v>
      </c>
      <c r="J195" s="154">
        <v>46494</v>
      </c>
      <c r="K195" s="96">
        <v>128092</v>
      </c>
      <c r="L195" s="123">
        <v>885897</v>
      </c>
      <c r="M195" s="123">
        <v>57417</v>
      </c>
      <c r="N195" s="123">
        <v>0</v>
      </c>
      <c r="O195" s="96">
        <v>2877790</v>
      </c>
      <c r="P195" s="6" t="s">
        <v>26</v>
      </c>
    </row>
    <row r="196" spans="1:16" s="80" customFormat="1" ht="12.75">
      <c r="A196" s="6" t="s">
        <v>27</v>
      </c>
      <c r="B196" s="123">
        <f t="shared" si="18"/>
        <v>564594</v>
      </c>
      <c r="C196" s="123">
        <v>468619</v>
      </c>
      <c r="D196" s="123">
        <v>93744</v>
      </c>
      <c r="E196" s="123">
        <v>2231</v>
      </c>
      <c r="F196" s="123"/>
      <c r="G196" s="123">
        <v>484</v>
      </c>
      <c r="H196" s="123">
        <v>861706</v>
      </c>
      <c r="I196" s="154">
        <v>32610</v>
      </c>
      <c r="J196" s="154">
        <v>43288</v>
      </c>
      <c r="K196" s="96">
        <v>127991</v>
      </c>
      <c r="L196" s="123">
        <v>875088</v>
      </c>
      <c r="M196" s="123">
        <v>57969</v>
      </c>
      <c r="N196" s="123">
        <v>0</v>
      </c>
      <c r="O196" s="96">
        <v>2809979</v>
      </c>
      <c r="P196" s="6" t="s">
        <v>27</v>
      </c>
    </row>
    <row r="197" spans="1:16" s="80" customFormat="1" ht="12.75">
      <c r="A197" s="6" t="s">
        <v>28</v>
      </c>
      <c r="B197" s="123">
        <f t="shared" si="18"/>
        <v>600876.5606701</v>
      </c>
      <c r="C197" s="123">
        <v>471152.7277769201</v>
      </c>
      <c r="D197" s="123">
        <v>127492.83289318</v>
      </c>
      <c r="E197" s="123">
        <v>2231</v>
      </c>
      <c r="F197" s="123"/>
      <c r="G197" s="123">
        <v>770</v>
      </c>
      <c r="H197" s="123">
        <v>861373</v>
      </c>
      <c r="I197" s="154">
        <v>32892</v>
      </c>
      <c r="J197" s="154">
        <v>13687</v>
      </c>
      <c r="K197" s="96">
        <v>127977</v>
      </c>
      <c r="L197" s="123">
        <v>878143</v>
      </c>
      <c r="M197" s="123">
        <v>60993</v>
      </c>
      <c r="N197" s="123">
        <v>0</v>
      </c>
      <c r="O197" s="96">
        <v>2837703</v>
      </c>
      <c r="P197" s="6" t="s">
        <v>28</v>
      </c>
    </row>
    <row r="198" spans="1:16" s="80" customFormat="1" ht="12.75">
      <c r="A198" s="6" t="s">
        <v>29</v>
      </c>
      <c r="B198" s="123">
        <f t="shared" si="18"/>
        <v>620860.06414797</v>
      </c>
      <c r="C198" s="123">
        <v>488241.34202032007</v>
      </c>
      <c r="D198" s="123">
        <v>130392.72212764999</v>
      </c>
      <c r="E198" s="123">
        <v>2226</v>
      </c>
      <c r="F198" s="123"/>
      <c r="G198" s="123">
        <v>744</v>
      </c>
      <c r="H198" s="123">
        <v>974514</v>
      </c>
      <c r="I198" s="154">
        <v>33085</v>
      </c>
      <c r="J198" s="154">
        <v>27200</v>
      </c>
      <c r="K198" s="96">
        <v>132679</v>
      </c>
      <c r="L198" s="123">
        <v>718877</v>
      </c>
      <c r="M198" s="123">
        <v>57309</v>
      </c>
      <c r="N198" s="123">
        <v>0</v>
      </c>
      <c r="O198" s="96">
        <v>2784117</v>
      </c>
      <c r="P198" s="6" t="s">
        <v>29</v>
      </c>
    </row>
    <row r="199" spans="1:18" s="80" customFormat="1" ht="12.75">
      <c r="A199" s="6" t="s">
        <v>30</v>
      </c>
      <c r="B199" s="123">
        <f t="shared" si="18"/>
        <v>583669</v>
      </c>
      <c r="C199" s="123">
        <v>467656</v>
      </c>
      <c r="D199" s="96">
        <f>84369+6429+7113+14552+1493</f>
        <v>113956</v>
      </c>
      <c r="E199" s="123">
        <v>2057</v>
      </c>
      <c r="F199" s="123">
        <v>21195.312</v>
      </c>
      <c r="G199" s="123">
        <v>461</v>
      </c>
      <c r="H199" s="96">
        <v>1012805</v>
      </c>
      <c r="I199" s="154">
        <v>32868</v>
      </c>
      <c r="J199" s="154">
        <v>20127</v>
      </c>
      <c r="K199" s="96">
        <v>132663</v>
      </c>
      <c r="L199" s="123">
        <v>712476</v>
      </c>
      <c r="M199" s="123">
        <v>56380</v>
      </c>
      <c r="N199" s="123">
        <v>0</v>
      </c>
      <c r="O199" s="96">
        <v>2784356</v>
      </c>
      <c r="P199" s="6" t="s">
        <v>30</v>
      </c>
      <c r="R199" s="97"/>
    </row>
    <row r="200" spans="1:18" s="80" customFormat="1" ht="12.75">
      <c r="A200" s="6" t="s">
        <v>31</v>
      </c>
      <c r="B200" s="123">
        <f t="shared" si="18"/>
        <v>610775</v>
      </c>
      <c r="C200" s="123">
        <v>480590</v>
      </c>
      <c r="D200" s="96">
        <f>96423+13462+8556+7451+2236</f>
        <v>128128</v>
      </c>
      <c r="E200" s="123">
        <v>2057</v>
      </c>
      <c r="F200" s="123"/>
      <c r="G200" s="123">
        <v>279</v>
      </c>
      <c r="H200" s="96">
        <v>1052239</v>
      </c>
      <c r="I200" s="154">
        <v>32957</v>
      </c>
      <c r="J200" s="154">
        <v>16290</v>
      </c>
      <c r="K200" s="96">
        <v>163848</v>
      </c>
      <c r="L200" s="96">
        <v>749969</v>
      </c>
      <c r="M200" s="123">
        <v>59013</v>
      </c>
      <c r="N200" s="123">
        <v>0</v>
      </c>
      <c r="O200" s="96">
        <v>2868380</v>
      </c>
      <c r="P200" s="6" t="s">
        <v>31</v>
      </c>
      <c r="R200" s="97"/>
    </row>
    <row r="201" spans="1:18" s="80" customFormat="1" ht="12.75">
      <c r="A201" s="6" t="s">
        <v>32</v>
      </c>
      <c r="B201" s="123">
        <f t="shared" si="18"/>
        <v>619165</v>
      </c>
      <c r="C201" s="123">
        <v>494606</v>
      </c>
      <c r="D201" s="96">
        <f>91247+12876+7226+7313+3844</f>
        <v>122506</v>
      </c>
      <c r="E201" s="123">
        <v>2053</v>
      </c>
      <c r="F201" s="123"/>
      <c r="G201" s="123">
        <v>167</v>
      </c>
      <c r="H201" s="96">
        <v>1054894</v>
      </c>
      <c r="I201" s="154">
        <v>33418</v>
      </c>
      <c r="J201" s="154">
        <v>25494</v>
      </c>
      <c r="K201" s="96">
        <v>198164</v>
      </c>
      <c r="L201" s="96">
        <v>760815</v>
      </c>
      <c r="M201" s="123">
        <v>60980</v>
      </c>
      <c r="N201" s="123">
        <v>0</v>
      </c>
      <c r="O201" s="96">
        <v>2936108</v>
      </c>
      <c r="P201" s="6" t="s">
        <v>32</v>
      </c>
      <c r="R201" s="97"/>
    </row>
    <row r="202" spans="1:18" s="80" customFormat="1" ht="12.75">
      <c r="A202" s="6" t="s">
        <v>33</v>
      </c>
      <c r="B202" s="123">
        <f t="shared" si="18"/>
        <v>612891</v>
      </c>
      <c r="C202" s="123">
        <v>513672</v>
      </c>
      <c r="D202" s="96">
        <f>63507+14303+7251+7685+4421</f>
        <v>97167</v>
      </c>
      <c r="E202" s="123">
        <v>2052</v>
      </c>
      <c r="F202" s="123"/>
      <c r="G202" s="123">
        <v>181</v>
      </c>
      <c r="H202" s="96">
        <v>1079062</v>
      </c>
      <c r="I202" s="154">
        <v>34343</v>
      </c>
      <c r="J202" s="154">
        <v>19417</v>
      </c>
      <c r="K202" s="96">
        <v>201582</v>
      </c>
      <c r="L202" s="96">
        <v>832201</v>
      </c>
      <c r="M202" s="123">
        <v>59772</v>
      </c>
      <c r="N202" s="123">
        <v>0</v>
      </c>
      <c r="O202" s="96">
        <v>3022460</v>
      </c>
      <c r="P202" s="6" t="s">
        <v>33</v>
      </c>
      <c r="R202" s="97"/>
    </row>
    <row r="203" spans="1:16" s="80" customFormat="1" ht="12.75">
      <c r="A203" s="6" t="s">
        <v>35</v>
      </c>
      <c r="B203" s="123">
        <f t="shared" si="18"/>
        <v>672225</v>
      </c>
      <c r="C203" s="123">
        <v>518282</v>
      </c>
      <c r="D203" s="96">
        <f>119474+13810+6828+7493+4286</f>
        <v>151891</v>
      </c>
      <c r="E203" s="123">
        <v>2052</v>
      </c>
      <c r="F203" s="123"/>
      <c r="G203" s="123">
        <v>734</v>
      </c>
      <c r="H203" s="96">
        <v>1086299</v>
      </c>
      <c r="I203" s="154">
        <v>34624</v>
      </c>
      <c r="J203" s="192">
        <v>18528.943860129937</v>
      </c>
      <c r="K203" s="96">
        <v>201174</v>
      </c>
      <c r="L203" s="123">
        <v>855945</v>
      </c>
      <c r="M203" s="123">
        <v>65248</v>
      </c>
      <c r="N203" s="123">
        <v>0</v>
      </c>
      <c r="O203" s="96">
        <v>3095570</v>
      </c>
      <c r="P203" s="6" t="s">
        <v>35</v>
      </c>
    </row>
    <row r="204" spans="1:16" s="80" customFormat="1" ht="12.75">
      <c r="A204" s="6" t="s">
        <v>36</v>
      </c>
      <c r="B204" s="123">
        <f t="shared" si="18"/>
        <v>720194</v>
      </c>
      <c r="C204" s="123">
        <v>551685</v>
      </c>
      <c r="D204" s="123">
        <f>130472+14840+8746+7604+4795</f>
        <v>166457</v>
      </c>
      <c r="E204" s="123">
        <v>2052</v>
      </c>
      <c r="F204" s="123"/>
      <c r="G204" s="123">
        <v>1017</v>
      </c>
      <c r="H204" s="96">
        <v>1083102</v>
      </c>
      <c r="I204" s="154">
        <v>35272</v>
      </c>
      <c r="J204" s="192">
        <v>22833.281235179777</v>
      </c>
      <c r="K204" s="96">
        <v>200420</v>
      </c>
      <c r="L204" s="123">
        <v>854055</v>
      </c>
      <c r="M204" s="123">
        <v>67413</v>
      </c>
      <c r="N204" s="123">
        <v>0</v>
      </c>
      <c r="O204" s="96">
        <v>3097819</v>
      </c>
      <c r="P204" s="6" t="s">
        <v>36</v>
      </c>
    </row>
    <row r="205" spans="1:16" ht="12.75">
      <c r="A205" s="43" t="s">
        <v>37</v>
      </c>
      <c r="B205" s="123">
        <f>SUM(C205:E205)</f>
        <v>760897</v>
      </c>
      <c r="C205" s="123">
        <v>631512</v>
      </c>
      <c r="D205" s="123">
        <f>90547+6937+8263+15286+6300</f>
        <v>127333</v>
      </c>
      <c r="E205" s="123">
        <v>2052</v>
      </c>
      <c r="F205" s="123"/>
      <c r="G205" s="123">
        <v>881</v>
      </c>
      <c r="H205" s="96">
        <v>1112407</v>
      </c>
      <c r="I205" s="154">
        <v>35327</v>
      </c>
      <c r="J205" s="192">
        <v>17600.77686954</v>
      </c>
      <c r="K205" s="96">
        <v>199610</v>
      </c>
      <c r="L205" s="96">
        <v>872726</v>
      </c>
      <c r="M205" s="96">
        <v>75103</v>
      </c>
      <c r="N205" s="123">
        <v>0</v>
      </c>
      <c r="O205" s="96">
        <v>3187192</v>
      </c>
      <c r="P205" s="6" t="s">
        <v>37</v>
      </c>
    </row>
    <row r="206" spans="1:16" ht="12.75">
      <c r="A206" s="43"/>
      <c r="B206" s="123"/>
      <c r="C206" s="123"/>
      <c r="D206" s="123"/>
      <c r="E206" s="123"/>
      <c r="F206" s="123"/>
      <c r="G206" s="123"/>
      <c r="H206" s="96"/>
      <c r="I206" s="154"/>
      <c r="J206" s="192"/>
      <c r="K206" s="96"/>
      <c r="L206" s="96"/>
      <c r="M206" s="96"/>
      <c r="N206" s="123"/>
      <c r="O206" s="96"/>
      <c r="P206" s="6"/>
    </row>
    <row r="207" spans="1:18" ht="12.75">
      <c r="A207" s="43"/>
      <c r="B207" s="123"/>
      <c r="C207" s="123"/>
      <c r="D207" s="123"/>
      <c r="E207" s="123"/>
      <c r="F207" s="123"/>
      <c r="G207" s="123"/>
      <c r="H207" s="96"/>
      <c r="I207" s="154"/>
      <c r="J207" s="192"/>
      <c r="K207" s="96"/>
      <c r="L207" s="96"/>
      <c r="M207" s="96"/>
      <c r="N207" s="123"/>
      <c r="O207" s="96"/>
      <c r="P207" s="6"/>
      <c r="R207" s="106"/>
    </row>
    <row r="208" spans="1:16" ht="12.75">
      <c r="A208" s="43">
        <v>2011</v>
      </c>
      <c r="B208" s="123"/>
      <c r="C208" s="123"/>
      <c r="D208" s="123"/>
      <c r="E208" s="123"/>
      <c r="F208" s="123"/>
      <c r="G208" s="123"/>
      <c r="H208" s="96"/>
      <c r="I208" s="154"/>
      <c r="J208" s="192"/>
      <c r="K208" s="96"/>
      <c r="L208" s="96"/>
      <c r="M208" s="96"/>
      <c r="N208" s="123"/>
      <c r="O208" s="96"/>
      <c r="P208" s="6">
        <v>2011</v>
      </c>
    </row>
    <row r="209" spans="1:16" ht="12.75">
      <c r="A209" s="6" t="s">
        <v>25</v>
      </c>
      <c r="B209" s="123">
        <f aca="true" t="shared" si="19" ref="B209:B217">SUM(C209:E209)</f>
        <v>707859.6179537801</v>
      </c>
      <c r="C209" s="123">
        <v>579217.4723061101</v>
      </c>
      <c r="D209" s="123">
        <f>89030+7617+7578+16987+5378</f>
        <v>126590</v>
      </c>
      <c r="E209" s="123">
        <v>2052.1456476699996</v>
      </c>
      <c r="F209" s="123">
        <v>0</v>
      </c>
      <c r="G209" s="123">
        <v>843.52992316</v>
      </c>
      <c r="H209" s="123">
        <v>1120789.51873076</v>
      </c>
      <c r="I209" s="154">
        <v>35861.754209059996</v>
      </c>
      <c r="J209" s="154">
        <v>57293.21180835001</v>
      </c>
      <c r="K209" s="96">
        <v>198738.84181</v>
      </c>
      <c r="L209" s="96">
        <v>940771</v>
      </c>
      <c r="M209" s="96">
        <v>74918</v>
      </c>
      <c r="N209" s="123">
        <v>0</v>
      </c>
      <c r="O209" s="96">
        <v>3194590</v>
      </c>
      <c r="P209" s="6" t="s">
        <v>25</v>
      </c>
    </row>
    <row r="210" spans="1:16" ht="12.75">
      <c r="A210" s="6" t="s">
        <v>26</v>
      </c>
      <c r="B210" s="123">
        <f t="shared" si="19"/>
        <v>717218.22914699</v>
      </c>
      <c r="C210" s="123">
        <v>578334.92048682</v>
      </c>
      <c r="D210" s="123">
        <f>103946+7124+1990+17419+6352</f>
        <v>136831</v>
      </c>
      <c r="E210" s="123">
        <v>2052.3086601699997</v>
      </c>
      <c r="F210" s="123">
        <v>55917.0602</v>
      </c>
      <c r="G210" s="123">
        <v>779.4050739099999</v>
      </c>
      <c r="H210" s="123">
        <v>1123598.9958383802</v>
      </c>
      <c r="I210" s="154">
        <v>35940.856812230006</v>
      </c>
      <c r="J210" s="154">
        <v>18303.942726809964</v>
      </c>
      <c r="K210" s="96">
        <v>197106.60772</v>
      </c>
      <c r="L210" s="96">
        <v>956927</v>
      </c>
      <c r="M210" s="96">
        <v>71226</v>
      </c>
      <c r="N210" s="123">
        <v>0</v>
      </c>
      <c r="O210" s="96">
        <v>3234531</v>
      </c>
      <c r="P210" s="6" t="s">
        <v>26</v>
      </c>
    </row>
    <row r="211" spans="1:16" s="80" customFormat="1" ht="12.75">
      <c r="A211" s="6" t="s">
        <v>27</v>
      </c>
      <c r="B211" s="123">
        <f t="shared" si="19"/>
        <v>725044.58502901</v>
      </c>
      <c r="C211" s="123">
        <v>608141.27636884</v>
      </c>
      <c r="D211" s="123">
        <f>84449+7819+804+17853+3926</f>
        <v>114851</v>
      </c>
      <c r="E211" s="123">
        <v>2052.3086601699997</v>
      </c>
      <c r="F211" s="123">
        <v>39162.361338</v>
      </c>
      <c r="G211" s="123">
        <v>1434.7047014099999</v>
      </c>
      <c r="H211" s="123">
        <v>1131299.4344276302</v>
      </c>
      <c r="I211" s="154">
        <v>36412.69542497</v>
      </c>
      <c r="J211" s="154">
        <v>18987.506911670123</v>
      </c>
      <c r="K211" s="96">
        <v>196880.395565</v>
      </c>
      <c r="L211" s="96">
        <v>988647</v>
      </c>
      <c r="M211" s="96">
        <v>67891</v>
      </c>
      <c r="N211" s="123">
        <v>0</v>
      </c>
      <c r="O211" s="96">
        <v>3206273</v>
      </c>
      <c r="P211" s="6" t="s">
        <v>27</v>
      </c>
    </row>
    <row r="212" spans="1:16" s="80" customFormat="1" ht="12.75">
      <c r="A212" s="6" t="s">
        <v>28</v>
      </c>
      <c r="B212" s="123">
        <f t="shared" si="19"/>
        <v>785816.29411417</v>
      </c>
      <c r="C212" s="123">
        <v>670291.285454</v>
      </c>
      <c r="D212" s="123">
        <f>83860+7189+1217+18269+2539</f>
        <v>113074</v>
      </c>
      <c r="E212" s="123">
        <v>2451.00866017</v>
      </c>
      <c r="F212" s="123">
        <v>10070.22933</v>
      </c>
      <c r="G212" s="123">
        <v>1938.82116641</v>
      </c>
      <c r="H212" s="123">
        <v>1145653.5624210003</v>
      </c>
      <c r="I212" s="154">
        <v>36643.60770486</v>
      </c>
      <c r="J212" s="154">
        <v>18587.79683546013</v>
      </c>
      <c r="K212" s="96">
        <v>192611.18384</v>
      </c>
      <c r="L212" s="96">
        <v>1035500</v>
      </c>
      <c r="M212" s="96">
        <v>63168</v>
      </c>
      <c r="N212" s="123">
        <v>0</v>
      </c>
      <c r="O212" s="96">
        <v>3290503</v>
      </c>
      <c r="P212" s="6" t="s">
        <v>28</v>
      </c>
    </row>
    <row r="213" spans="1:16" s="80" customFormat="1" ht="12.75">
      <c r="A213" s="6" t="s">
        <v>29</v>
      </c>
      <c r="B213" s="123">
        <f t="shared" si="19"/>
        <v>778182</v>
      </c>
      <c r="C213" s="123">
        <v>644892</v>
      </c>
      <c r="D213" s="123">
        <f>95909+7876+1964+19173+5917</f>
        <v>130839</v>
      </c>
      <c r="E213" s="123">
        <v>2451</v>
      </c>
      <c r="F213" s="123">
        <v>1000</v>
      </c>
      <c r="G213" s="123">
        <v>867</v>
      </c>
      <c r="H213" s="123">
        <v>1253684</v>
      </c>
      <c r="I213" s="154">
        <v>36523</v>
      </c>
      <c r="J213" s="154">
        <v>50613</v>
      </c>
      <c r="K213" s="96">
        <v>177383</v>
      </c>
      <c r="L213" s="96">
        <v>887819</v>
      </c>
      <c r="M213" s="96">
        <v>63432</v>
      </c>
      <c r="N213" s="123">
        <v>0</v>
      </c>
      <c r="O213" s="96">
        <v>3250016</v>
      </c>
      <c r="P213" s="6" t="s">
        <v>29</v>
      </c>
    </row>
    <row r="214" spans="1:16" s="80" customFormat="1" ht="12.75">
      <c r="A214" s="6" t="s">
        <v>30</v>
      </c>
      <c r="B214" s="123">
        <f t="shared" si="19"/>
        <v>741908</v>
      </c>
      <c r="C214" s="123">
        <v>637321</v>
      </c>
      <c r="D214" s="123">
        <f>68498+7293+951+20672+5122</f>
        <v>102536</v>
      </c>
      <c r="E214" s="123">
        <v>2051</v>
      </c>
      <c r="F214" s="123">
        <v>10713</v>
      </c>
      <c r="G214" s="123">
        <v>439</v>
      </c>
      <c r="H214" s="123">
        <v>1246764</v>
      </c>
      <c r="I214" s="154">
        <v>36644</v>
      </c>
      <c r="J214" s="154">
        <v>30949</v>
      </c>
      <c r="K214" s="96">
        <v>156835</v>
      </c>
      <c r="L214" s="96">
        <v>895438</v>
      </c>
      <c r="M214" s="96">
        <v>58726</v>
      </c>
      <c r="N214" s="123">
        <v>0</v>
      </c>
      <c r="O214" s="96">
        <v>3178930</v>
      </c>
      <c r="P214" s="6" t="s">
        <v>30</v>
      </c>
    </row>
    <row r="215" spans="1:16" s="80" customFormat="1" ht="12.75">
      <c r="A215" s="6" t="s">
        <v>31</v>
      </c>
      <c r="B215" s="123">
        <f t="shared" si="19"/>
        <v>754107.98356909</v>
      </c>
      <c r="C215" s="123">
        <v>620160.98356909</v>
      </c>
      <c r="D215" s="123">
        <f>95897+6661+512+23511+5318</f>
        <v>131899</v>
      </c>
      <c r="E215" s="123">
        <v>2048</v>
      </c>
      <c r="F215" s="123">
        <v>4003</v>
      </c>
      <c r="G215" s="123">
        <v>2004</v>
      </c>
      <c r="H215" s="123">
        <v>1251014</v>
      </c>
      <c r="I215" s="154">
        <v>36832</v>
      </c>
      <c r="J215" s="154">
        <v>20136</v>
      </c>
      <c r="K215" s="96">
        <v>154540</v>
      </c>
      <c r="L215" s="96">
        <v>924070</v>
      </c>
      <c r="M215" s="96">
        <v>57094.86377796999</v>
      </c>
      <c r="N215" s="123">
        <v>0</v>
      </c>
      <c r="O215" s="96">
        <v>3204313</v>
      </c>
      <c r="P215" s="6" t="s">
        <v>31</v>
      </c>
    </row>
    <row r="216" spans="1:16" s="80" customFormat="1" ht="12.75">
      <c r="A216" s="6" t="s">
        <v>32</v>
      </c>
      <c r="B216" s="123">
        <f t="shared" si="19"/>
        <v>760118.7576057799</v>
      </c>
      <c r="C216" s="123">
        <v>628961.7576057799</v>
      </c>
      <c r="D216" s="123">
        <f>92240+7330+1224+23224+5091</f>
        <v>129109</v>
      </c>
      <c r="E216" s="123">
        <v>2048</v>
      </c>
      <c r="F216" s="123">
        <v>14433</v>
      </c>
      <c r="G216" s="123">
        <v>456</v>
      </c>
      <c r="H216" s="123">
        <v>1256455</v>
      </c>
      <c r="I216" s="154">
        <v>37067</v>
      </c>
      <c r="J216" s="154">
        <v>25065</v>
      </c>
      <c r="K216" s="96">
        <v>145050</v>
      </c>
      <c r="L216" s="123">
        <v>939300</v>
      </c>
      <c r="M216" s="123">
        <v>57946.87499036999</v>
      </c>
      <c r="N216" s="123">
        <v>0</v>
      </c>
      <c r="O216" s="96">
        <v>3236403</v>
      </c>
      <c r="P216" s="6" t="s">
        <v>32</v>
      </c>
    </row>
    <row r="217" spans="1:16" s="177" customFormat="1" ht="12.75">
      <c r="A217" s="181" t="s">
        <v>33</v>
      </c>
      <c r="B217" s="182">
        <f t="shared" si="19"/>
        <v>787326.30893019</v>
      </c>
      <c r="C217" s="182">
        <v>635870.30893019</v>
      </c>
      <c r="D217" s="182">
        <f>112182+6940+1184+23942+5160</f>
        <v>149408</v>
      </c>
      <c r="E217" s="182">
        <v>2048</v>
      </c>
      <c r="F217" s="182">
        <v>0</v>
      </c>
      <c r="G217" s="182">
        <v>422</v>
      </c>
      <c r="H217" s="182">
        <v>1243612</v>
      </c>
      <c r="I217" s="291">
        <v>37219</v>
      </c>
      <c r="J217" s="291">
        <f>23628+512</f>
        <v>24140</v>
      </c>
      <c r="K217" s="182">
        <v>137625</v>
      </c>
      <c r="L217" s="182">
        <v>919182</v>
      </c>
      <c r="M217" s="182">
        <v>56019.30812105999</v>
      </c>
      <c r="N217" s="182">
        <v>0</v>
      </c>
      <c r="O217" s="182">
        <v>3067920</v>
      </c>
      <c r="P217" s="181" t="s">
        <v>33</v>
      </c>
    </row>
    <row r="218" spans="1:16" s="126" customFormat="1" ht="12.75">
      <c r="A218" s="151" t="s">
        <v>35</v>
      </c>
      <c r="B218" s="96">
        <f>SUM(C218:E218)</f>
        <v>757980.9627131299</v>
      </c>
      <c r="C218" s="96">
        <v>635000.9627131299</v>
      </c>
      <c r="D218" s="96">
        <f>80399+7592+2291+24852+5805</f>
        <v>120939</v>
      </c>
      <c r="E218" s="96">
        <v>2041</v>
      </c>
      <c r="F218" s="96">
        <v>0</v>
      </c>
      <c r="G218" s="96">
        <v>728</v>
      </c>
      <c r="H218" s="96">
        <v>1253863.8869432202</v>
      </c>
      <c r="I218" s="192">
        <v>37181.84201324</v>
      </c>
      <c r="J218" s="192">
        <f>19746.6+512</f>
        <v>20258.6</v>
      </c>
      <c r="K218" s="96">
        <v>135644</v>
      </c>
      <c r="L218" s="96">
        <v>947178.4024322499</v>
      </c>
      <c r="M218" s="96">
        <v>53467.459993369994</v>
      </c>
      <c r="N218" s="96">
        <v>0</v>
      </c>
      <c r="O218" s="96">
        <v>3070659</v>
      </c>
      <c r="P218" s="151" t="s">
        <v>35</v>
      </c>
    </row>
    <row r="219" spans="1:16" s="126" customFormat="1" ht="12.75">
      <c r="A219" s="151" t="s">
        <v>36</v>
      </c>
      <c r="B219" s="96">
        <f>SUM(C219:E219)</f>
        <v>775141.9187008</v>
      </c>
      <c r="C219" s="96">
        <v>651337.9187008</v>
      </c>
      <c r="D219" s="96">
        <f>80389+7942+1369+26884+5179</f>
        <v>121763</v>
      </c>
      <c r="E219" s="96">
        <v>2041</v>
      </c>
      <c r="F219" s="96">
        <v>0</v>
      </c>
      <c r="G219" s="96">
        <v>1205</v>
      </c>
      <c r="H219" s="96">
        <v>1234708.1998282</v>
      </c>
      <c r="I219" s="192">
        <v>37103.160168589995</v>
      </c>
      <c r="J219" s="192">
        <f>19402.89+512</f>
        <v>19914.89</v>
      </c>
      <c r="K219" s="96">
        <v>118649</v>
      </c>
      <c r="L219" s="96">
        <v>906611.78525457</v>
      </c>
      <c r="M219" s="96">
        <v>55063.770772589996</v>
      </c>
      <c r="N219" s="96">
        <v>0</v>
      </c>
      <c r="O219" s="96">
        <v>3029748</v>
      </c>
      <c r="P219" s="151" t="s">
        <v>36</v>
      </c>
    </row>
    <row r="220" spans="1:16" s="126" customFormat="1" ht="12.75">
      <c r="A220" s="151" t="s">
        <v>37</v>
      </c>
      <c r="B220" s="96">
        <f>SUM(C220:E220)</f>
        <v>859604.43774595</v>
      </c>
      <c r="C220" s="96">
        <v>707501.43774595</v>
      </c>
      <c r="D220" s="96">
        <f>109349+9514+748+25426+5025</f>
        <v>150062</v>
      </c>
      <c r="E220" s="96">
        <v>2041</v>
      </c>
      <c r="F220" s="96">
        <v>0</v>
      </c>
      <c r="G220" s="96">
        <v>814</v>
      </c>
      <c r="H220" s="96">
        <v>1273340</v>
      </c>
      <c r="I220" s="192">
        <v>36839.17626844</v>
      </c>
      <c r="J220" s="192">
        <v>15211</v>
      </c>
      <c r="K220" s="96">
        <v>118219</v>
      </c>
      <c r="L220" s="96">
        <v>813815</v>
      </c>
      <c r="M220" s="96">
        <v>79299</v>
      </c>
      <c r="N220" s="96">
        <v>0</v>
      </c>
      <c r="O220" s="96">
        <v>3079434</v>
      </c>
      <c r="P220" s="151" t="s">
        <v>37</v>
      </c>
    </row>
    <row r="221" spans="1:16" s="126" customFormat="1" ht="12.75">
      <c r="A221" s="151"/>
      <c r="B221" s="96"/>
      <c r="C221" s="96"/>
      <c r="D221" s="96"/>
      <c r="E221" s="96"/>
      <c r="F221" s="96"/>
      <c r="G221" s="96"/>
      <c r="H221" s="96"/>
      <c r="I221" s="192"/>
      <c r="J221" s="192"/>
      <c r="K221" s="96"/>
      <c r="L221" s="96"/>
      <c r="M221" s="96"/>
      <c r="N221" s="96"/>
      <c r="O221" s="96"/>
      <c r="P221" s="151"/>
    </row>
    <row r="222" spans="1:16" s="170" customFormat="1" ht="12.75">
      <c r="A222" s="151">
        <v>2012</v>
      </c>
      <c r="B222" s="96"/>
      <c r="C222" s="96"/>
      <c r="D222" s="96"/>
      <c r="E222" s="96"/>
      <c r="F222" s="96"/>
      <c r="G222" s="96"/>
      <c r="H222" s="96"/>
      <c r="I222" s="192"/>
      <c r="J222" s="192"/>
      <c r="K222" s="96"/>
      <c r="L222" s="96"/>
      <c r="M222" s="183"/>
      <c r="N222" s="96"/>
      <c r="O222" s="96"/>
      <c r="P222" s="151">
        <v>2012</v>
      </c>
    </row>
    <row r="223" spans="1:16" s="167" customFormat="1" ht="12.75">
      <c r="A223" s="151" t="s">
        <v>25</v>
      </c>
      <c r="B223" s="96">
        <f aca="true" t="shared" si="20" ref="B223:B231">SUM(C223:E223)</f>
        <v>842030</v>
      </c>
      <c r="C223" s="96">
        <v>683449</v>
      </c>
      <c r="D223" s="96">
        <f>117054+7742+617+25490+5637</f>
        <v>156540</v>
      </c>
      <c r="E223" s="96">
        <v>2041</v>
      </c>
      <c r="F223" s="96">
        <v>0</v>
      </c>
      <c r="G223" s="96">
        <v>548</v>
      </c>
      <c r="H223" s="96">
        <v>1276472</v>
      </c>
      <c r="I223" s="192">
        <v>36733</v>
      </c>
      <c r="J223" s="192">
        <v>18701</v>
      </c>
      <c r="K223" s="96">
        <v>110636</v>
      </c>
      <c r="L223" s="96">
        <v>824353</v>
      </c>
      <c r="M223" s="96">
        <v>79272</v>
      </c>
      <c r="N223" s="96">
        <v>0</v>
      </c>
      <c r="O223" s="96">
        <v>3076621</v>
      </c>
      <c r="P223" s="151" t="s">
        <v>25</v>
      </c>
    </row>
    <row r="224" spans="1:16" s="167" customFormat="1" ht="12.75">
      <c r="A224" s="151" t="s">
        <v>26</v>
      </c>
      <c r="B224" s="96">
        <f t="shared" si="20"/>
        <v>897158</v>
      </c>
      <c r="C224" s="96">
        <v>694783</v>
      </c>
      <c r="D224" s="96">
        <f>159639+7947+1891+25599+5258</f>
        <v>200334</v>
      </c>
      <c r="E224" s="96">
        <v>2041</v>
      </c>
      <c r="F224" s="96">
        <v>0</v>
      </c>
      <c r="G224" s="96">
        <v>3341</v>
      </c>
      <c r="H224" s="96">
        <v>1277533</v>
      </c>
      <c r="I224" s="192">
        <v>36702</v>
      </c>
      <c r="J224" s="192">
        <v>33624</v>
      </c>
      <c r="K224" s="96">
        <v>103906</v>
      </c>
      <c r="L224" s="96">
        <v>833309</v>
      </c>
      <c r="M224" s="96">
        <v>74986</v>
      </c>
      <c r="N224" s="96">
        <v>0</v>
      </c>
      <c r="O224" s="96">
        <v>3157165</v>
      </c>
      <c r="P224" s="151" t="s">
        <v>26</v>
      </c>
    </row>
    <row r="225" spans="1:16" s="167" customFormat="1" ht="12.75">
      <c r="A225" s="151" t="s">
        <v>27</v>
      </c>
      <c r="B225" s="96">
        <f t="shared" si="20"/>
        <v>848636</v>
      </c>
      <c r="C225" s="96">
        <v>707629</v>
      </c>
      <c r="D225" s="96">
        <f>96269+10213+724+26831+4929</f>
        <v>138966</v>
      </c>
      <c r="E225" s="96">
        <v>2041</v>
      </c>
      <c r="F225" s="96">
        <v>12002</v>
      </c>
      <c r="G225" s="96">
        <v>1090</v>
      </c>
      <c r="H225" s="96">
        <v>1270618</v>
      </c>
      <c r="I225" s="192">
        <v>36606</v>
      </c>
      <c r="J225" s="192">
        <v>57880</v>
      </c>
      <c r="K225" s="96">
        <v>83425</v>
      </c>
      <c r="L225" s="96">
        <v>825383</v>
      </c>
      <c r="M225" s="96">
        <v>71360</v>
      </c>
      <c r="N225" s="96">
        <v>0</v>
      </c>
      <c r="O225" s="96">
        <v>3124087</v>
      </c>
      <c r="P225" s="151" t="s">
        <v>27</v>
      </c>
    </row>
    <row r="226" spans="1:16" s="167" customFormat="1" ht="12.75">
      <c r="A226" s="151" t="s">
        <v>28</v>
      </c>
      <c r="B226" s="96">
        <f t="shared" si="20"/>
        <v>898452</v>
      </c>
      <c r="C226" s="96">
        <v>730909</v>
      </c>
      <c r="D226" s="96">
        <f>122107+8176+941+28629+5650</f>
        <v>165503</v>
      </c>
      <c r="E226" s="96">
        <v>2040</v>
      </c>
      <c r="F226" s="96">
        <v>7001</v>
      </c>
      <c r="G226" s="96">
        <v>1260</v>
      </c>
      <c r="H226" s="96">
        <v>1270201</v>
      </c>
      <c r="I226" s="192">
        <v>36574</v>
      </c>
      <c r="J226" s="192">
        <v>26409</v>
      </c>
      <c r="K226" s="96">
        <v>52868</v>
      </c>
      <c r="L226" s="96">
        <v>824794</v>
      </c>
      <c r="M226" s="96">
        <v>69743</v>
      </c>
      <c r="N226" s="96">
        <v>0</v>
      </c>
      <c r="O226" s="96">
        <v>3134946</v>
      </c>
      <c r="P226" s="151" t="s">
        <v>28</v>
      </c>
    </row>
    <row r="227" spans="1:16" s="167" customFormat="1" ht="12.75">
      <c r="A227" s="151" t="s">
        <v>29</v>
      </c>
      <c r="B227" s="96">
        <v>876843</v>
      </c>
      <c r="C227" s="96">
        <v>723307</v>
      </c>
      <c r="D227" s="96">
        <f>109211+7586+1316+28831+4554</f>
        <v>151498</v>
      </c>
      <c r="E227" s="96">
        <v>2039</v>
      </c>
      <c r="F227" s="96">
        <v>0</v>
      </c>
      <c r="G227" s="96">
        <v>2714</v>
      </c>
      <c r="H227" s="96">
        <v>1218055</v>
      </c>
      <c r="I227" s="192">
        <v>36529</v>
      </c>
      <c r="J227" s="192">
        <v>29789</v>
      </c>
      <c r="K227" s="96">
        <v>21222</v>
      </c>
      <c r="L227" s="96">
        <v>822801</v>
      </c>
      <c r="M227" s="96">
        <v>66731</v>
      </c>
      <c r="N227" s="96">
        <v>0</v>
      </c>
      <c r="O227" s="96">
        <v>3053973</v>
      </c>
      <c r="P227" s="151" t="s">
        <v>29</v>
      </c>
    </row>
    <row r="228" spans="1:16" s="170" customFormat="1" ht="12.75">
      <c r="A228" s="151" t="s">
        <v>30</v>
      </c>
      <c r="B228" s="96">
        <f t="shared" si="20"/>
        <v>853516</v>
      </c>
      <c r="C228" s="96">
        <v>717553</v>
      </c>
      <c r="D228" s="96">
        <f>97550+7702+464+23621+4587</f>
        <v>133924</v>
      </c>
      <c r="E228" s="96">
        <v>2039</v>
      </c>
      <c r="F228" s="96">
        <v>0</v>
      </c>
      <c r="G228" s="96">
        <v>1071</v>
      </c>
      <c r="H228" s="96">
        <v>1203860</v>
      </c>
      <c r="I228" s="192">
        <v>36423</v>
      </c>
      <c r="J228" s="192">
        <v>34337</v>
      </c>
      <c r="K228" s="96">
        <v>9805</v>
      </c>
      <c r="L228" s="96">
        <v>816607</v>
      </c>
      <c r="M228" s="96">
        <v>64813</v>
      </c>
      <c r="N228" s="96">
        <v>0</v>
      </c>
      <c r="O228" s="96">
        <v>3011138</v>
      </c>
      <c r="P228" s="151" t="s">
        <v>30</v>
      </c>
    </row>
    <row r="229" spans="1:16" s="170" customFormat="1" ht="12.75">
      <c r="A229" s="151" t="s">
        <v>31</v>
      </c>
      <c r="B229" s="96">
        <f t="shared" si="20"/>
        <v>867409.18007318</v>
      </c>
      <c r="C229" s="96">
        <v>712042.87402173</v>
      </c>
      <c r="D229" s="96">
        <v>153327.78887080998</v>
      </c>
      <c r="E229" s="96">
        <v>2038.51718064</v>
      </c>
      <c r="F229" s="96">
        <v>0</v>
      </c>
      <c r="G229" s="96">
        <v>1234.22537186</v>
      </c>
      <c r="H229" s="96">
        <v>1203453.9575227501</v>
      </c>
      <c r="I229" s="192">
        <v>36455.78109818</v>
      </c>
      <c r="J229" s="192">
        <v>37899.053728189894</v>
      </c>
      <c r="K229" s="96">
        <v>0</v>
      </c>
      <c r="L229" s="96">
        <v>820489.1487996399</v>
      </c>
      <c r="M229" s="96">
        <v>64600.71357311</v>
      </c>
      <c r="N229" s="96">
        <v>0</v>
      </c>
      <c r="O229" s="96">
        <v>3032053.6842856198</v>
      </c>
      <c r="P229" s="151" t="s">
        <v>31</v>
      </c>
    </row>
    <row r="230" spans="1:16" s="170" customFormat="1" ht="12.75">
      <c r="A230" s="151" t="s">
        <v>32</v>
      </c>
      <c r="B230" s="96">
        <f t="shared" si="20"/>
        <v>859359.69996322</v>
      </c>
      <c r="C230" s="96">
        <v>706223.9308648</v>
      </c>
      <c r="D230" s="96">
        <v>151097.25191778</v>
      </c>
      <c r="E230" s="96">
        <v>2038.51718064</v>
      </c>
      <c r="F230" s="96">
        <v>0</v>
      </c>
      <c r="G230" s="96">
        <v>939.9872213199998</v>
      </c>
      <c r="H230" s="96">
        <v>1207865.7831979303</v>
      </c>
      <c r="I230" s="192">
        <v>36477.32393479</v>
      </c>
      <c r="J230" s="192">
        <v>27935.6459121997</v>
      </c>
      <c r="K230" s="96">
        <v>0</v>
      </c>
      <c r="L230" s="96">
        <v>828606.20402969</v>
      </c>
      <c r="M230" s="96">
        <v>64020.03334529999</v>
      </c>
      <c r="N230" s="96">
        <v>0</v>
      </c>
      <c r="O230" s="96">
        <v>3025716.30172316</v>
      </c>
      <c r="P230" s="151" t="s">
        <v>32</v>
      </c>
    </row>
    <row r="231" spans="1:16" s="170" customFormat="1" ht="12.75">
      <c r="A231" s="151" t="s">
        <v>33</v>
      </c>
      <c r="B231" s="96">
        <f t="shared" si="20"/>
        <v>880594.7324762901</v>
      </c>
      <c r="C231" s="96">
        <v>722097.8411108</v>
      </c>
      <c r="D231" s="96">
        <v>156460.37418485002</v>
      </c>
      <c r="E231" s="96">
        <v>2036.51718064</v>
      </c>
      <c r="F231" s="96">
        <v>0</v>
      </c>
      <c r="G231" s="96">
        <v>882.2383743599997</v>
      </c>
      <c r="H231" s="96">
        <v>1240444.8274434502</v>
      </c>
      <c r="I231" s="192">
        <v>36481.19491324</v>
      </c>
      <c r="J231" s="192">
        <v>25685.59093782913</v>
      </c>
      <c r="K231" s="96">
        <v>0</v>
      </c>
      <c r="L231" s="96">
        <v>846859.2447598099</v>
      </c>
      <c r="M231" s="96">
        <v>65344.82192231</v>
      </c>
      <c r="N231" s="96">
        <v>0</v>
      </c>
      <c r="O231" s="96">
        <v>3096804.274946</v>
      </c>
      <c r="P231" s="151" t="s">
        <v>33</v>
      </c>
    </row>
    <row r="232" spans="1:16" s="228" customFormat="1" ht="12.75">
      <c r="A232" s="151" t="s">
        <v>35</v>
      </c>
      <c r="B232" s="96">
        <f aca="true" t="shared" si="21" ref="B232:B239">SUM(C232:E232)</f>
        <v>993661.51718064</v>
      </c>
      <c r="C232" s="96">
        <v>770699</v>
      </c>
      <c r="D232" s="96">
        <f>201907+8691+275+3382+6671</f>
        <v>220926</v>
      </c>
      <c r="E232" s="96">
        <v>2036.51718064</v>
      </c>
      <c r="F232" s="96">
        <v>0</v>
      </c>
      <c r="G232" s="96">
        <v>1045</v>
      </c>
      <c r="H232" s="96">
        <v>1241478</v>
      </c>
      <c r="I232" s="192">
        <v>36522</v>
      </c>
      <c r="J232" s="192">
        <v>34917</v>
      </c>
      <c r="K232" s="96">
        <v>0</v>
      </c>
      <c r="L232" s="96">
        <v>848730</v>
      </c>
      <c r="M232" s="96">
        <v>65336</v>
      </c>
      <c r="N232" s="96">
        <v>0</v>
      </c>
      <c r="O232" s="96">
        <v>3222202</v>
      </c>
      <c r="P232" s="151" t="s">
        <v>35</v>
      </c>
    </row>
    <row r="233" spans="1:16" s="170" customFormat="1" ht="12.75">
      <c r="A233" s="151" t="s">
        <v>36</v>
      </c>
      <c r="B233" s="96">
        <f t="shared" si="21"/>
        <v>990419.6717999</v>
      </c>
      <c r="C233" s="96">
        <v>817187.6717999</v>
      </c>
      <c r="D233" s="96">
        <f>148535+8867+290+5328+8307</f>
        <v>171327</v>
      </c>
      <c r="E233" s="96">
        <v>1905</v>
      </c>
      <c r="F233" s="96">
        <v>0</v>
      </c>
      <c r="G233" s="96">
        <v>865.7959993599998</v>
      </c>
      <c r="H233" s="96">
        <v>1236130.26631909</v>
      </c>
      <c r="I233" s="192">
        <v>36494.3225793</v>
      </c>
      <c r="J233" s="192">
        <v>24677.310104828553</v>
      </c>
      <c r="K233" s="96">
        <v>0</v>
      </c>
      <c r="L233" s="96">
        <v>842927.81612029</v>
      </c>
      <c r="M233" s="96">
        <v>63378.98771084999</v>
      </c>
      <c r="N233" s="96">
        <v>0</v>
      </c>
      <c r="O233" s="96">
        <v>3195404.4951921883</v>
      </c>
      <c r="P233" s="151" t="s">
        <v>36</v>
      </c>
    </row>
    <row r="234" spans="1:16" s="170" customFormat="1" ht="12.75">
      <c r="A234" s="151" t="s">
        <v>37</v>
      </c>
      <c r="B234" s="96">
        <f>SUM(C234:E234)</f>
        <v>1018926.10345523</v>
      </c>
      <c r="C234" s="96">
        <v>902941.10345523</v>
      </c>
      <c r="D234" s="96">
        <f>93880+7241+274+5656+7029</f>
        <v>114080</v>
      </c>
      <c r="E234" s="96">
        <v>1905</v>
      </c>
      <c r="F234" s="96">
        <v>0</v>
      </c>
      <c r="G234" s="96">
        <v>623.8088418599999</v>
      </c>
      <c r="H234" s="96">
        <v>1224337.3632892203</v>
      </c>
      <c r="I234" s="192">
        <v>36472.274832459996</v>
      </c>
      <c r="J234" s="192">
        <v>24595.7351976</v>
      </c>
      <c r="K234" s="96">
        <v>0</v>
      </c>
      <c r="L234" s="96">
        <v>829634.76436246</v>
      </c>
      <c r="M234" s="96">
        <v>67935.25807161</v>
      </c>
      <c r="N234" s="96">
        <v>0</v>
      </c>
      <c r="O234" s="96">
        <v>3203035.0255500404</v>
      </c>
      <c r="P234" s="151" t="s">
        <v>37</v>
      </c>
    </row>
    <row r="235" spans="1:16" s="170" customFormat="1" ht="12.75">
      <c r="A235" s="151"/>
      <c r="B235" s="96"/>
      <c r="C235" s="96"/>
      <c r="D235" s="96"/>
      <c r="E235" s="96"/>
      <c r="F235" s="96"/>
      <c r="G235" s="96"/>
      <c r="H235" s="192"/>
      <c r="I235" s="192"/>
      <c r="J235" s="192"/>
      <c r="K235" s="96"/>
      <c r="L235" s="96"/>
      <c r="M235" s="96"/>
      <c r="N235" s="96"/>
      <c r="O235" s="96"/>
      <c r="P235" s="151"/>
    </row>
    <row r="236" spans="1:16" s="228" customFormat="1" ht="12.75">
      <c r="A236" s="151">
        <v>2013</v>
      </c>
      <c r="B236" s="96"/>
      <c r="C236" s="229"/>
      <c r="D236" s="229"/>
      <c r="E236" s="229"/>
      <c r="F236" s="229"/>
      <c r="G236" s="229"/>
      <c r="H236" s="237"/>
      <c r="I236" s="237"/>
      <c r="J236" s="237"/>
      <c r="K236" s="229"/>
      <c r="L236" s="229"/>
      <c r="M236" s="229"/>
      <c r="N236" s="229"/>
      <c r="O236" s="96"/>
      <c r="P236" s="151">
        <v>2013</v>
      </c>
    </row>
    <row r="237" spans="1:16" s="228" customFormat="1" ht="12.75">
      <c r="A237" s="151" t="s">
        <v>25</v>
      </c>
      <c r="B237" s="96">
        <f t="shared" si="21"/>
        <v>1036392</v>
      </c>
      <c r="C237" s="96">
        <v>832575</v>
      </c>
      <c r="D237" s="96">
        <f>182208+7191+304+6409+5807</f>
        <v>201919</v>
      </c>
      <c r="E237" s="96">
        <v>1898</v>
      </c>
      <c r="F237" s="96">
        <v>0</v>
      </c>
      <c r="G237" s="96">
        <v>653</v>
      </c>
      <c r="H237" s="192">
        <v>1223716</v>
      </c>
      <c r="I237" s="192">
        <v>36340</v>
      </c>
      <c r="J237" s="192">
        <v>20115</v>
      </c>
      <c r="K237" s="96">
        <v>0</v>
      </c>
      <c r="L237" s="96">
        <v>820019.5965254</v>
      </c>
      <c r="M237" s="96">
        <v>73445.53614221001</v>
      </c>
      <c r="N237" s="96">
        <v>0</v>
      </c>
      <c r="O237" s="96">
        <v>3211190.8043175805</v>
      </c>
      <c r="P237" s="151" t="s">
        <v>25</v>
      </c>
    </row>
    <row r="238" spans="1:16" s="228" customFormat="1" ht="12.75">
      <c r="A238" s="151" t="s">
        <v>26</v>
      </c>
      <c r="B238" s="96">
        <f t="shared" si="21"/>
        <v>1084525</v>
      </c>
      <c r="C238" s="96">
        <v>823559</v>
      </c>
      <c r="D238" s="96">
        <f>234153+8572+384+7950+7929</f>
        <v>258988</v>
      </c>
      <c r="E238" s="96">
        <v>1978</v>
      </c>
      <c r="F238" s="96">
        <v>0</v>
      </c>
      <c r="G238" s="96">
        <v>1246</v>
      </c>
      <c r="H238" s="192">
        <v>1215108</v>
      </c>
      <c r="I238" s="192">
        <v>36365</v>
      </c>
      <c r="J238" s="192">
        <v>35074</v>
      </c>
      <c r="K238" s="96">
        <v>0</v>
      </c>
      <c r="L238" s="96">
        <v>797691.86417959</v>
      </c>
      <c r="M238" s="96">
        <v>70169.82924387</v>
      </c>
      <c r="N238" s="96">
        <v>0</v>
      </c>
      <c r="O238" s="96">
        <v>3240691.3007778605</v>
      </c>
      <c r="P238" s="151" t="s">
        <v>26</v>
      </c>
    </row>
    <row r="239" spans="1:16" s="228" customFormat="1" ht="12.75">
      <c r="A239" s="151" t="s">
        <v>27</v>
      </c>
      <c r="B239" s="96">
        <f t="shared" si="21"/>
        <v>1086954</v>
      </c>
      <c r="C239" s="96">
        <v>856335</v>
      </c>
      <c r="D239" s="96">
        <f>204111+8201+599+8435+7295</f>
        <v>228641</v>
      </c>
      <c r="E239" s="96">
        <v>1978</v>
      </c>
      <c r="F239" s="96">
        <v>0</v>
      </c>
      <c r="G239" s="96">
        <v>1856</v>
      </c>
      <c r="H239" s="192">
        <v>1209435</v>
      </c>
      <c r="I239" s="192">
        <v>36401</v>
      </c>
      <c r="J239" s="192">
        <v>32853</v>
      </c>
      <c r="K239" s="96">
        <v>0</v>
      </c>
      <c r="L239" s="96">
        <v>784514.70246804</v>
      </c>
      <c r="M239" s="96">
        <v>69388.45575889</v>
      </c>
      <c r="N239" s="96">
        <v>0</v>
      </c>
      <c r="O239" s="96">
        <v>3221913.94361563</v>
      </c>
      <c r="P239" s="151" t="s">
        <v>27</v>
      </c>
    </row>
    <row r="240" spans="1:16" s="170" customFormat="1" ht="12.75">
      <c r="A240" s="151" t="s">
        <v>28</v>
      </c>
      <c r="B240" s="96">
        <f aca="true" t="shared" si="22" ref="B240:B246">SUM(C240:E240)</f>
        <v>1094850</v>
      </c>
      <c r="C240" s="96">
        <v>848069</v>
      </c>
      <c r="D240" s="96">
        <f>215733+7008+345+10768+10949</f>
        <v>244803</v>
      </c>
      <c r="E240" s="96">
        <v>1978</v>
      </c>
      <c r="F240" s="96">
        <v>0</v>
      </c>
      <c r="G240" s="96">
        <v>1451</v>
      </c>
      <c r="H240" s="192">
        <v>1214418</v>
      </c>
      <c r="I240" s="192">
        <v>36363</v>
      </c>
      <c r="J240" s="192">
        <v>42147</v>
      </c>
      <c r="K240" s="96">
        <v>0</v>
      </c>
      <c r="L240" s="96">
        <v>791182</v>
      </c>
      <c r="M240" s="96">
        <v>67770</v>
      </c>
      <c r="N240" s="96">
        <v>0</v>
      </c>
      <c r="O240" s="96">
        <v>3248693</v>
      </c>
      <c r="P240" s="151" t="s">
        <v>28</v>
      </c>
    </row>
    <row r="241" spans="1:16" s="170" customFormat="1" ht="12.75">
      <c r="A241" s="151" t="s">
        <v>29</v>
      </c>
      <c r="B241" s="96">
        <f t="shared" si="22"/>
        <v>1078884</v>
      </c>
      <c r="C241" s="96">
        <v>817264</v>
      </c>
      <c r="D241" s="96">
        <f>232707+8601+283+11330+6722</f>
        <v>259643</v>
      </c>
      <c r="E241" s="96">
        <v>1977</v>
      </c>
      <c r="F241" s="96">
        <v>0</v>
      </c>
      <c r="G241" s="96">
        <v>2328</v>
      </c>
      <c r="H241" s="192">
        <v>1184580</v>
      </c>
      <c r="I241" s="192">
        <v>36410</v>
      </c>
      <c r="J241" s="192">
        <v>31563</v>
      </c>
      <c r="K241" s="96">
        <v>0</v>
      </c>
      <c r="L241" s="96">
        <v>803653</v>
      </c>
      <c r="M241" s="96">
        <v>68160</v>
      </c>
      <c r="N241" s="96">
        <v>0</v>
      </c>
      <c r="O241" s="96">
        <v>3206092</v>
      </c>
      <c r="P241" s="151" t="s">
        <v>29</v>
      </c>
    </row>
    <row r="242" spans="1:16" s="170" customFormat="1" ht="12.75">
      <c r="A242" s="151" t="s">
        <v>30</v>
      </c>
      <c r="B242" s="96">
        <f t="shared" si="22"/>
        <v>1072340</v>
      </c>
      <c r="C242" s="96">
        <v>791934</v>
      </c>
      <c r="D242" s="96">
        <f>247925+9995+247+12198+8064</f>
        <v>278429</v>
      </c>
      <c r="E242" s="96">
        <v>1977</v>
      </c>
      <c r="F242" s="96">
        <v>0</v>
      </c>
      <c r="G242" s="96">
        <v>852</v>
      </c>
      <c r="H242" s="192">
        <v>1172145</v>
      </c>
      <c r="I242" s="192">
        <v>36410</v>
      </c>
      <c r="J242" s="192">
        <v>28265</v>
      </c>
      <c r="K242" s="96">
        <v>0</v>
      </c>
      <c r="L242" s="96">
        <v>801677</v>
      </c>
      <c r="M242" s="96">
        <v>69706</v>
      </c>
      <c r="N242" s="96">
        <v>0</v>
      </c>
      <c r="O242" s="96">
        <v>3181908</v>
      </c>
      <c r="P242" s="151" t="s">
        <v>30</v>
      </c>
    </row>
    <row r="243" spans="1:16" s="183" customFormat="1" ht="12.75">
      <c r="A243" s="151" t="s">
        <v>31</v>
      </c>
      <c r="B243" s="96">
        <f t="shared" si="22"/>
        <v>1093258</v>
      </c>
      <c r="C243" s="96">
        <v>774590</v>
      </c>
      <c r="D243" s="96">
        <f>274621+10492+4624+13560+13394</f>
        <v>316691</v>
      </c>
      <c r="E243" s="96">
        <v>1977</v>
      </c>
      <c r="F243" s="96">
        <v>0</v>
      </c>
      <c r="G243" s="96">
        <v>735</v>
      </c>
      <c r="H243" s="192">
        <v>1173600</v>
      </c>
      <c r="I243" s="192">
        <v>36410</v>
      </c>
      <c r="J243" s="192">
        <v>38106</v>
      </c>
      <c r="K243" s="96">
        <v>80713</v>
      </c>
      <c r="L243" s="96">
        <v>812694</v>
      </c>
      <c r="M243" s="96">
        <v>69927</v>
      </c>
      <c r="N243" s="96">
        <v>0</v>
      </c>
      <c r="O243" s="96">
        <v>3225242</v>
      </c>
      <c r="P243" s="151" t="s">
        <v>31</v>
      </c>
    </row>
    <row r="244" spans="1:16" s="183" customFormat="1" ht="12.75">
      <c r="A244" s="151" t="s">
        <v>32</v>
      </c>
      <c r="B244" s="96">
        <f t="shared" si="22"/>
        <v>1096056</v>
      </c>
      <c r="C244" s="96">
        <v>755449</v>
      </c>
      <c r="D244" s="96">
        <f>17769+865+9571+10928+299499</f>
        <v>338632</v>
      </c>
      <c r="E244" s="96">
        <v>1975</v>
      </c>
      <c r="F244" s="96">
        <v>0</v>
      </c>
      <c r="G244" s="96">
        <v>1033</v>
      </c>
      <c r="H244" s="192">
        <v>1193654</v>
      </c>
      <c r="I244" s="192">
        <v>36436</v>
      </c>
      <c r="J244" s="192">
        <v>50535</v>
      </c>
      <c r="K244" s="96">
        <v>80713</v>
      </c>
      <c r="L244" s="96">
        <v>813072</v>
      </c>
      <c r="M244" s="96">
        <v>69028</v>
      </c>
      <c r="N244" s="96">
        <v>0</v>
      </c>
      <c r="O244" s="96">
        <v>3260324</v>
      </c>
      <c r="P244" s="151" t="s">
        <v>32</v>
      </c>
    </row>
    <row r="245" spans="1:16" s="183" customFormat="1" ht="12.75">
      <c r="A245" s="151" t="s">
        <v>33</v>
      </c>
      <c r="B245" s="96">
        <f t="shared" si="22"/>
        <v>1048213</v>
      </c>
      <c r="C245" s="96">
        <v>759336</v>
      </c>
      <c r="D245" s="96">
        <f>251464+11202+728+14818+8690</f>
        <v>286902</v>
      </c>
      <c r="E245" s="96">
        <v>1975</v>
      </c>
      <c r="F245" s="96">
        <v>0</v>
      </c>
      <c r="G245" s="96">
        <v>2061</v>
      </c>
      <c r="H245" s="192">
        <v>1223034</v>
      </c>
      <c r="I245" s="192">
        <v>36489</v>
      </c>
      <c r="J245" s="192">
        <v>74383</v>
      </c>
      <c r="K245" s="96">
        <v>80713</v>
      </c>
      <c r="L245" s="96">
        <v>824288</v>
      </c>
      <c r="M245" s="96">
        <v>68317</v>
      </c>
      <c r="N245" s="96">
        <v>0</v>
      </c>
      <c r="O245" s="96">
        <v>3277297</v>
      </c>
      <c r="P245" s="151" t="s">
        <v>33</v>
      </c>
    </row>
    <row r="246" spans="1:16" s="183" customFormat="1" ht="12.75">
      <c r="A246" s="151" t="s">
        <v>35</v>
      </c>
      <c r="B246" s="96">
        <f t="shared" si="22"/>
        <v>1082309</v>
      </c>
      <c r="C246" s="96">
        <v>774998</v>
      </c>
      <c r="D246" s="96">
        <f>266872+9791+2038+16023+10612</f>
        <v>305336</v>
      </c>
      <c r="E246" s="96">
        <v>1975</v>
      </c>
      <c r="F246" s="96">
        <v>0</v>
      </c>
      <c r="G246" s="96">
        <v>2249</v>
      </c>
      <c r="H246" s="192">
        <v>1285574</v>
      </c>
      <c r="I246" s="192">
        <v>36537</v>
      </c>
      <c r="J246" s="192">
        <v>55182</v>
      </c>
      <c r="K246" s="96">
        <v>81090</v>
      </c>
      <c r="L246" s="96">
        <v>822888</v>
      </c>
      <c r="M246" s="96">
        <v>70126</v>
      </c>
      <c r="N246" s="96">
        <v>0</v>
      </c>
      <c r="O246" s="96">
        <v>3355375</v>
      </c>
      <c r="P246" s="151" t="s">
        <v>35</v>
      </c>
    </row>
    <row r="247" spans="1:16" s="230" customFormat="1" ht="12.75">
      <c r="A247" s="89" t="s">
        <v>36</v>
      </c>
      <c r="B247" s="96">
        <f>SUM(C247:E247)</f>
        <v>1115023</v>
      </c>
      <c r="C247" s="96">
        <v>786258</v>
      </c>
      <c r="D247" s="96">
        <f>283499+16150+1908+10334+14899</f>
        <v>326790</v>
      </c>
      <c r="E247" s="96">
        <v>1975</v>
      </c>
      <c r="F247" s="96">
        <v>0</v>
      </c>
      <c r="G247" s="96">
        <v>2008</v>
      </c>
      <c r="H247" s="192">
        <v>1267807</v>
      </c>
      <c r="I247" s="192">
        <v>36706</v>
      </c>
      <c r="J247" s="192">
        <v>43479</v>
      </c>
      <c r="K247" s="96">
        <v>81090</v>
      </c>
      <c r="L247" s="96">
        <v>833124</v>
      </c>
      <c r="M247" s="96">
        <v>68569</v>
      </c>
      <c r="N247" s="96">
        <v>0</v>
      </c>
      <c r="O247" s="96">
        <v>3367229</v>
      </c>
      <c r="P247" s="89" t="s">
        <v>36</v>
      </c>
    </row>
    <row r="248" spans="1:16" s="170" customFormat="1" ht="12.75">
      <c r="A248" s="89" t="s">
        <v>37</v>
      </c>
      <c r="B248" s="96">
        <f>SUM(C248:E248)</f>
        <v>1197936</v>
      </c>
      <c r="C248" s="96">
        <v>907433</v>
      </c>
      <c r="D248" s="96">
        <f>251138+7152+1249+18243+10746</f>
        <v>288528</v>
      </c>
      <c r="E248" s="96">
        <v>1975</v>
      </c>
      <c r="F248" s="96">
        <v>0</v>
      </c>
      <c r="G248" s="96">
        <v>2768</v>
      </c>
      <c r="H248" s="192">
        <v>1254392</v>
      </c>
      <c r="I248" s="192">
        <v>36660</v>
      </c>
      <c r="J248" s="192">
        <v>29311</v>
      </c>
      <c r="K248" s="96">
        <v>81090</v>
      </c>
      <c r="L248" s="96">
        <v>831636</v>
      </c>
      <c r="M248" s="96">
        <v>71042</v>
      </c>
      <c r="N248" s="96">
        <v>0</v>
      </c>
      <c r="O248" s="96">
        <v>3424255</v>
      </c>
      <c r="P248" s="89" t="s">
        <v>37</v>
      </c>
    </row>
    <row r="249" spans="1:16" s="170" customFormat="1" ht="12.75">
      <c r="A249" s="89"/>
      <c r="B249" s="96"/>
      <c r="C249" s="96"/>
      <c r="D249" s="96"/>
      <c r="E249" s="96"/>
      <c r="F249" s="96"/>
      <c r="G249" s="96"/>
      <c r="H249" s="192"/>
      <c r="I249" s="192"/>
      <c r="J249" s="192"/>
      <c r="K249" s="96"/>
      <c r="L249" s="96"/>
      <c r="M249" s="96"/>
      <c r="N249" s="96"/>
      <c r="O249" s="96"/>
      <c r="P249" s="89"/>
    </row>
    <row r="250" spans="1:16" s="170" customFormat="1" ht="12.75">
      <c r="A250" s="260">
        <v>2014</v>
      </c>
      <c r="B250" s="96"/>
      <c r="C250" s="96"/>
      <c r="D250" s="96"/>
      <c r="E250" s="96"/>
      <c r="F250" s="96"/>
      <c r="G250" s="96"/>
      <c r="H250" s="192"/>
      <c r="I250" s="192"/>
      <c r="J250" s="192"/>
      <c r="K250" s="96"/>
      <c r="L250" s="96"/>
      <c r="M250" s="96"/>
      <c r="N250" s="96"/>
      <c r="O250" s="96"/>
      <c r="P250" s="260">
        <v>2014</v>
      </c>
    </row>
    <row r="251" spans="1:16" s="170" customFormat="1" ht="12.75">
      <c r="A251" s="89" t="s">
        <v>25</v>
      </c>
      <c r="B251" s="96">
        <f>SUM(C251:E251)</f>
        <v>1118356.55995759</v>
      </c>
      <c r="C251" s="96">
        <v>880412</v>
      </c>
      <c r="D251" s="96">
        <v>235969.55995759004</v>
      </c>
      <c r="E251" s="96">
        <v>1975</v>
      </c>
      <c r="F251" s="96">
        <v>0</v>
      </c>
      <c r="G251" s="96">
        <v>2578</v>
      </c>
      <c r="H251" s="192">
        <v>1248571</v>
      </c>
      <c r="I251" s="192">
        <v>36496</v>
      </c>
      <c r="J251" s="192">
        <v>145895</v>
      </c>
      <c r="K251" s="96">
        <v>81082</v>
      </c>
      <c r="L251" s="96">
        <v>817834</v>
      </c>
      <c r="M251" s="96">
        <v>73077</v>
      </c>
      <c r="N251" s="96">
        <v>0</v>
      </c>
      <c r="O251" s="96">
        <v>3443319</v>
      </c>
      <c r="P251" s="89" t="s">
        <v>25</v>
      </c>
    </row>
    <row r="252" spans="1:16" s="170" customFormat="1" ht="12.75">
      <c r="A252" s="89" t="s">
        <v>26</v>
      </c>
      <c r="B252" s="96">
        <f>SUM(C252:E252)</f>
        <v>1257470.73330554</v>
      </c>
      <c r="C252" s="96">
        <v>896248</v>
      </c>
      <c r="D252" s="96">
        <v>359277.73330554</v>
      </c>
      <c r="E252" s="96">
        <v>1945</v>
      </c>
      <c r="F252" s="96">
        <v>0</v>
      </c>
      <c r="G252" s="96">
        <v>8223</v>
      </c>
      <c r="H252" s="192">
        <v>1251699</v>
      </c>
      <c r="I252" s="192">
        <v>36678</v>
      </c>
      <c r="J252" s="192">
        <v>90319</v>
      </c>
      <c r="K252" s="96">
        <v>81082</v>
      </c>
      <c r="L252" s="96">
        <v>826620</v>
      </c>
      <c r="M252" s="96">
        <v>70845</v>
      </c>
      <c r="N252" s="96">
        <v>0</v>
      </c>
      <c r="O252" s="96">
        <v>3542367</v>
      </c>
      <c r="P252" s="89" t="s">
        <v>26</v>
      </c>
    </row>
    <row r="253" spans="1:16" s="170" customFormat="1" ht="12.75">
      <c r="A253" s="89" t="s">
        <v>27</v>
      </c>
      <c r="B253" s="96">
        <f aca="true" t="shared" si="23" ref="B253:B262">SUM(C253:E253)</f>
        <v>1312087.6905971298</v>
      </c>
      <c r="C253" s="96">
        <v>939219</v>
      </c>
      <c r="D253" s="96">
        <v>370923.6905971298</v>
      </c>
      <c r="E253" s="96">
        <v>1945</v>
      </c>
      <c r="F253" s="96">
        <v>0</v>
      </c>
      <c r="G253" s="96">
        <v>5819</v>
      </c>
      <c r="H253" s="192">
        <v>1251408</v>
      </c>
      <c r="I253" s="192">
        <v>36690</v>
      </c>
      <c r="J253" s="192">
        <v>56203</v>
      </c>
      <c r="K253" s="96">
        <v>81082</v>
      </c>
      <c r="L253" s="96">
        <v>825404</v>
      </c>
      <c r="M253" s="96">
        <v>69220</v>
      </c>
      <c r="N253" s="96">
        <v>0</v>
      </c>
      <c r="O253" s="96">
        <v>3557344</v>
      </c>
      <c r="P253" s="89" t="s">
        <v>27</v>
      </c>
    </row>
    <row r="254" spans="1:16" s="170" customFormat="1" ht="12.75">
      <c r="A254" s="89" t="s">
        <v>28</v>
      </c>
      <c r="B254" s="96">
        <f t="shared" si="23"/>
        <v>1361439.85846178</v>
      </c>
      <c r="C254" s="96">
        <v>978311.85846178</v>
      </c>
      <c r="D254" s="96">
        <f>341978+10117+511+20808+7769</f>
        <v>381183</v>
      </c>
      <c r="E254" s="96">
        <v>1945</v>
      </c>
      <c r="F254" s="96">
        <v>0</v>
      </c>
      <c r="G254" s="96">
        <v>6078.39990198</v>
      </c>
      <c r="H254" s="192">
        <v>1254496.36530169</v>
      </c>
      <c r="I254" s="292">
        <v>36710.63453829</v>
      </c>
      <c r="J254" s="292">
        <v>46279.17652529015</v>
      </c>
      <c r="K254" s="262">
        <v>0</v>
      </c>
      <c r="L254" s="262">
        <v>829367.9931915507</v>
      </c>
      <c r="M254" s="262">
        <v>71719.83282209</v>
      </c>
      <c r="N254" s="262">
        <v>0</v>
      </c>
      <c r="O254" s="262">
        <v>3606604.225233541</v>
      </c>
      <c r="P254" s="89" t="s">
        <v>28</v>
      </c>
    </row>
    <row r="255" spans="1:16" s="170" customFormat="1" ht="12.75">
      <c r="A255" s="89" t="s">
        <v>29</v>
      </c>
      <c r="B255" s="96">
        <f t="shared" si="23"/>
        <v>1392713.4763608002</v>
      </c>
      <c r="C255" s="96">
        <v>979451.4763608001</v>
      </c>
      <c r="D255" s="96">
        <f>370692+9513+359+21738+9015</f>
        <v>411317</v>
      </c>
      <c r="E255" s="96">
        <v>1945</v>
      </c>
      <c r="F255" s="96">
        <v>0</v>
      </c>
      <c r="G255" s="96">
        <v>7161.458896980001</v>
      </c>
      <c r="H255" s="192">
        <v>1248140.8358090802</v>
      </c>
      <c r="I255" s="192">
        <v>36747.91374383</v>
      </c>
      <c r="J255" s="192">
        <v>86400.50574182073</v>
      </c>
      <c r="K255" s="96">
        <v>0</v>
      </c>
      <c r="L255" s="96">
        <v>896974.5220501107</v>
      </c>
      <c r="M255" s="96">
        <v>72057.84897299999</v>
      </c>
      <c r="N255" s="96">
        <v>0</v>
      </c>
      <c r="O255" s="96">
        <v>3740709.5100496314</v>
      </c>
      <c r="P255" s="89" t="s">
        <v>29</v>
      </c>
    </row>
    <row r="256" spans="1:16" s="170" customFormat="1" ht="12.75">
      <c r="A256" s="89" t="s">
        <v>30</v>
      </c>
      <c r="B256" s="96">
        <f t="shared" si="23"/>
        <v>1343811.40447446</v>
      </c>
      <c r="C256" s="96">
        <v>940774.40447446</v>
      </c>
      <c r="D256" s="96">
        <f>359861+8604+466+23881+8273</f>
        <v>401085</v>
      </c>
      <c r="E256" s="96">
        <v>1952</v>
      </c>
      <c r="F256" s="96">
        <v>0</v>
      </c>
      <c r="G256" s="96">
        <v>7722.972254480001</v>
      </c>
      <c r="H256" s="192">
        <v>1237023.93752994</v>
      </c>
      <c r="I256" s="192">
        <v>37081.74355954</v>
      </c>
      <c r="J256" s="192">
        <v>115089.26082679033</v>
      </c>
      <c r="K256" s="96">
        <v>0</v>
      </c>
      <c r="L256" s="96">
        <v>923684.8764813808</v>
      </c>
      <c r="M256" s="96">
        <v>73271.19560558</v>
      </c>
      <c r="N256" s="96">
        <v>0</v>
      </c>
      <c r="O256" s="96">
        <v>3738197.3974893913</v>
      </c>
      <c r="P256" s="89" t="s">
        <v>30</v>
      </c>
    </row>
    <row r="257" spans="1:16" s="170" customFormat="1" ht="12.75">
      <c r="A257" s="89" t="s">
        <v>31</v>
      </c>
      <c r="B257" s="96">
        <f t="shared" si="23"/>
        <v>1308238</v>
      </c>
      <c r="C257" s="96">
        <v>977669</v>
      </c>
      <c r="D257" s="96">
        <f>287908+21009+415+9422+9863</f>
        <v>328617</v>
      </c>
      <c r="E257" s="96">
        <v>1952</v>
      </c>
      <c r="F257" s="96">
        <v>0</v>
      </c>
      <c r="G257" s="96">
        <v>6983</v>
      </c>
      <c r="H257" s="192">
        <v>1328119</v>
      </c>
      <c r="I257" s="192">
        <v>37854</v>
      </c>
      <c r="J257" s="192">
        <v>103818</v>
      </c>
      <c r="K257" s="96">
        <v>0</v>
      </c>
      <c r="L257" s="96">
        <v>938047</v>
      </c>
      <c r="M257" s="96">
        <v>70095</v>
      </c>
      <c r="N257" s="96">
        <v>0</v>
      </c>
      <c r="O257" s="96">
        <v>3793666</v>
      </c>
      <c r="P257" s="89" t="s">
        <v>31</v>
      </c>
    </row>
    <row r="258" spans="1:16" s="170" customFormat="1" ht="12.75">
      <c r="A258" s="89" t="s">
        <v>32</v>
      </c>
      <c r="B258" s="96">
        <f t="shared" si="23"/>
        <v>1348938</v>
      </c>
      <c r="C258" s="96">
        <v>949588</v>
      </c>
      <c r="D258" s="96">
        <f>342671+24247+1621+9909+18950</f>
        <v>397398</v>
      </c>
      <c r="E258" s="96">
        <v>1952</v>
      </c>
      <c r="F258" s="96">
        <v>0</v>
      </c>
      <c r="G258" s="96">
        <v>15117</v>
      </c>
      <c r="H258" s="192">
        <v>1332662</v>
      </c>
      <c r="I258" s="192">
        <v>38493</v>
      </c>
      <c r="J258" s="192">
        <v>128685</v>
      </c>
      <c r="K258" s="96">
        <v>0</v>
      </c>
      <c r="L258" s="96">
        <v>963101</v>
      </c>
      <c r="M258" s="96">
        <v>70400</v>
      </c>
      <c r="N258" s="96">
        <v>0</v>
      </c>
      <c r="O258" s="96">
        <v>3897907</v>
      </c>
      <c r="P258" s="89" t="s">
        <v>32</v>
      </c>
    </row>
    <row r="259" spans="1:16" s="170" customFormat="1" ht="12.75">
      <c r="A259" s="89" t="s">
        <v>33</v>
      </c>
      <c r="B259" s="96">
        <f t="shared" si="23"/>
        <v>1290723</v>
      </c>
      <c r="C259" s="96">
        <v>958265</v>
      </c>
      <c r="D259" s="96">
        <f>282843+23072+2984+10731+10876</f>
        <v>330506</v>
      </c>
      <c r="E259" s="96">
        <v>1952</v>
      </c>
      <c r="F259" s="96">
        <v>0</v>
      </c>
      <c r="G259" s="96">
        <v>16104</v>
      </c>
      <c r="H259" s="192">
        <v>1341144</v>
      </c>
      <c r="I259" s="192">
        <v>39580</v>
      </c>
      <c r="J259" s="192">
        <v>120358</v>
      </c>
      <c r="K259" s="96">
        <v>0</v>
      </c>
      <c r="L259" s="96">
        <v>1009834</v>
      </c>
      <c r="M259" s="96">
        <v>68638</v>
      </c>
      <c r="N259" s="96">
        <v>0</v>
      </c>
      <c r="O259" s="96">
        <v>3886892</v>
      </c>
      <c r="P259" s="89" t="s">
        <v>33</v>
      </c>
    </row>
    <row r="260" spans="1:16" s="170" customFormat="1" ht="12.75">
      <c r="A260" s="89" t="s">
        <v>35</v>
      </c>
      <c r="B260" s="96">
        <f t="shared" si="23"/>
        <v>1437392.5551602</v>
      </c>
      <c r="C260" s="96">
        <v>960592.2351723299</v>
      </c>
      <c r="D260" s="96">
        <f>430162+11072+1395+24809+7410</f>
        <v>474848</v>
      </c>
      <c r="E260" s="96">
        <v>1952.31998787</v>
      </c>
      <c r="F260" s="96">
        <v>0</v>
      </c>
      <c r="G260" s="96">
        <v>8000.62175948</v>
      </c>
      <c r="H260" s="192">
        <v>1528707.6556963301</v>
      </c>
      <c r="I260" s="192">
        <v>40152.77590006</v>
      </c>
      <c r="J260" s="192">
        <v>219466.42393326035</v>
      </c>
      <c r="K260" s="96">
        <v>4976.5</v>
      </c>
      <c r="L260" s="96">
        <v>1041846.8150325101</v>
      </c>
      <c r="M260" s="96">
        <v>68204.14366045999</v>
      </c>
      <c r="N260" s="96">
        <v>0</v>
      </c>
      <c r="O260" s="96">
        <v>4349260.72039582</v>
      </c>
      <c r="P260" s="89" t="s">
        <v>35</v>
      </c>
    </row>
    <row r="261" spans="1:16" s="170" customFormat="1" ht="12.75">
      <c r="A261" s="89" t="s">
        <v>36</v>
      </c>
      <c r="B261" s="96">
        <f t="shared" si="23"/>
        <v>1336066.0075787602</v>
      </c>
      <c r="C261" s="96">
        <v>1002397.68759089</v>
      </c>
      <c r="D261" s="96">
        <f>280500+12363+2517+24538+11798</f>
        <v>331716</v>
      </c>
      <c r="E261" s="96">
        <v>1952.31998787</v>
      </c>
      <c r="F261" s="96">
        <v>0</v>
      </c>
      <c r="G261" s="96">
        <v>5853.24800948</v>
      </c>
      <c r="H261" s="192">
        <v>1532442.63670175</v>
      </c>
      <c r="I261" s="192">
        <v>41105.499433879995</v>
      </c>
      <c r="J261" s="192">
        <v>238120.053329521</v>
      </c>
      <c r="K261" s="96">
        <v>4976.5</v>
      </c>
      <c r="L261" s="96">
        <v>1083773.13075983</v>
      </c>
      <c r="M261" s="96">
        <v>69864.07789280999</v>
      </c>
      <c r="N261" s="96">
        <v>0</v>
      </c>
      <c r="O261" s="96">
        <v>4312714.461855112</v>
      </c>
      <c r="P261" s="89" t="s">
        <v>36</v>
      </c>
    </row>
    <row r="262" spans="1:16" s="280" customFormat="1" ht="15.75">
      <c r="A262" s="263" t="s">
        <v>236</v>
      </c>
      <c r="B262" s="277">
        <f t="shared" si="23"/>
        <v>1561595.48636594</v>
      </c>
      <c r="C262" s="277">
        <v>1136945.16637807</v>
      </c>
      <c r="D262" s="277">
        <f>384169+6310+2574+25596+4049</f>
        <v>422698</v>
      </c>
      <c r="E262" s="277">
        <v>1952.31998787</v>
      </c>
      <c r="F262" s="277">
        <v>0</v>
      </c>
      <c r="G262" s="277">
        <v>7047.72464148</v>
      </c>
      <c r="H262" s="278">
        <v>1505859.11600943</v>
      </c>
      <c r="I262" s="278">
        <v>41683.20089214</v>
      </c>
      <c r="J262" s="278">
        <v>0</v>
      </c>
      <c r="K262" s="277">
        <v>4976.5</v>
      </c>
      <c r="L262" s="277">
        <v>1118748.48493266</v>
      </c>
      <c r="M262" s="277">
        <v>69615.98087936</v>
      </c>
      <c r="N262" s="277">
        <v>0</v>
      </c>
      <c r="O262" s="277">
        <v>4483070.66080937</v>
      </c>
      <c r="P262" s="279" t="s">
        <v>37</v>
      </c>
    </row>
    <row r="263" spans="1:16" s="170" customFormat="1" ht="12.75">
      <c r="A263" s="89"/>
      <c r="B263" s="96"/>
      <c r="C263" s="96"/>
      <c r="D263" s="96"/>
      <c r="E263" s="96"/>
      <c r="F263" s="96"/>
      <c r="G263" s="96"/>
      <c r="H263" s="192"/>
      <c r="I263" s="192"/>
      <c r="J263" s="192"/>
      <c r="K263" s="96"/>
      <c r="L263" s="96"/>
      <c r="M263" s="96"/>
      <c r="N263" s="96"/>
      <c r="O263" s="96"/>
      <c r="P263" s="89"/>
    </row>
    <row r="264" spans="1:16" s="170" customFormat="1" ht="12.75">
      <c r="A264" s="260">
        <v>2015</v>
      </c>
      <c r="B264" s="96"/>
      <c r="C264" s="96"/>
      <c r="D264" s="96"/>
      <c r="E264" s="96"/>
      <c r="F264" s="96"/>
      <c r="G264" s="96"/>
      <c r="H264" s="192"/>
      <c r="I264" s="192"/>
      <c r="J264" s="192"/>
      <c r="K264" s="96"/>
      <c r="L264" s="96"/>
      <c r="M264" s="96"/>
      <c r="N264" s="96"/>
      <c r="O264" s="96"/>
      <c r="P264" s="260">
        <v>2015</v>
      </c>
    </row>
    <row r="265" spans="1:16" s="170" customFormat="1" ht="12.75">
      <c r="A265" s="89" t="s">
        <v>25</v>
      </c>
      <c r="B265" s="96">
        <f aca="true" t="shared" si="24" ref="B265:B284">SUM(C265:E265)</f>
        <v>1450689.54441852</v>
      </c>
      <c r="C265" s="96">
        <v>1082643.8742756702</v>
      </c>
      <c r="D265" s="96">
        <f>'[8]BSL'!$F$1549+'[8]BSL'!$F$1552+'[8]BSL'!$F$1555+'[8]BSL'!$F$1557+'[8]BSL'!$F$1558</f>
        <v>366093.35015497997</v>
      </c>
      <c r="E265" s="96">
        <v>1952.31998787</v>
      </c>
      <c r="F265" s="96">
        <v>0</v>
      </c>
      <c r="G265" s="96">
        <v>6708.553178980001</v>
      </c>
      <c r="H265" s="192">
        <v>1466550.3984889702</v>
      </c>
      <c r="I265" s="192">
        <v>41440.29699421</v>
      </c>
      <c r="J265" s="192">
        <v>0</v>
      </c>
      <c r="K265" s="96">
        <v>0</v>
      </c>
      <c r="L265" s="96">
        <v>1065690.48914363</v>
      </c>
      <c r="M265" s="96">
        <v>68988.79191671999</v>
      </c>
      <c r="N265" s="96">
        <v>0</v>
      </c>
      <c r="O265" s="96">
        <v>4281068.38616308</v>
      </c>
      <c r="P265" s="89" t="s">
        <v>25</v>
      </c>
    </row>
    <row r="266" spans="1:16" s="170" customFormat="1" ht="12.75">
      <c r="A266" s="89" t="s">
        <v>26</v>
      </c>
      <c r="B266" s="96">
        <f t="shared" si="24"/>
        <v>1440834.28811856</v>
      </c>
      <c r="C266" s="96">
        <v>1113053.52706499</v>
      </c>
      <c r="D266" s="96">
        <f>'[8]BSL'!$H$1549+'[8]BSL'!$H$1552+'[8]BSL'!$H$1555+'[8]BSL'!$H$1557+'[8]BSL'!$H$1558</f>
        <v>325828.4410657</v>
      </c>
      <c r="E266" s="96">
        <v>1952.31998787</v>
      </c>
      <c r="F266" s="96">
        <v>0</v>
      </c>
      <c r="G266" s="96">
        <v>7952.43284148</v>
      </c>
      <c r="H266" s="192">
        <v>1462876.35102935</v>
      </c>
      <c r="I266" s="192">
        <v>41165.415448199994</v>
      </c>
      <c r="J266" s="192">
        <v>0</v>
      </c>
      <c r="K266" s="96">
        <v>0</v>
      </c>
      <c r="L266" s="96">
        <v>1061872.62751188</v>
      </c>
      <c r="M266" s="96">
        <v>68669.432587</v>
      </c>
      <c r="N266" s="96">
        <v>0</v>
      </c>
      <c r="O266" s="96">
        <v>4230213.713291899</v>
      </c>
      <c r="P266" s="89" t="s">
        <v>26</v>
      </c>
    </row>
    <row r="267" spans="1:16" s="170" customFormat="1" ht="12.75">
      <c r="A267" s="89" t="s">
        <v>27</v>
      </c>
      <c r="B267" s="96">
        <f t="shared" si="24"/>
        <v>1502179.1768979903</v>
      </c>
      <c r="C267" s="96">
        <v>1180541.3177650801</v>
      </c>
      <c r="D267" s="96">
        <f>'[8]BSL'!$J$1549+'[8]BSL'!$J$1552+'[8]BSL'!$J$1555+'[8]BSL'!$J$1557+'[8]BSL'!$J$1558</f>
        <v>319685.5391450401</v>
      </c>
      <c r="E267" s="96">
        <v>1952.31998787</v>
      </c>
      <c r="F267" s="96">
        <v>0</v>
      </c>
      <c r="G267" s="96">
        <v>8088.24396648</v>
      </c>
      <c r="H267" s="192">
        <v>1850574.1357481703</v>
      </c>
      <c r="I267" s="192">
        <v>40935.555064620006</v>
      </c>
      <c r="J267" s="192">
        <v>45776.86450361</v>
      </c>
      <c r="K267" s="96">
        <v>0</v>
      </c>
      <c r="L267" s="96">
        <v>995790.30223655</v>
      </c>
      <c r="M267" s="96">
        <v>68306.38389307</v>
      </c>
      <c r="N267" s="96">
        <v>0</v>
      </c>
      <c r="O267" s="96">
        <v>4663714.35999846</v>
      </c>
      <c r="P267" s="89" t="s">
        <v>27</v>
      </c>
    </row>
    <row r="268" spans="1:16" s="170" customFormat="1" ht="12.75">
      <c r="A268" s="89" t="s">
        <v>28</v>
      </c>
      <c r="B268" s="96">
        <f t="shared" si="24"/>
        <v>1553506.0063554202</v>
      </c>
      <c r="C268" s="96">
        <v>1166462.4822069702</v>
      </c>
      <c r="D268" s="96">
        <f>'[8]BSL'!$L$1549+'[8]BSL'!$L$1552+'[8]BSL'!$L$1555+'[8]BSL'!$L$1557+'[8]BSL'!$L$1558</f>
        <v>385091.20416058</v>
      </c>
      <c r="E268" s="96">
        <v>1952.31998787</v>
      </c>
      <c r="F268" s="96">
        <v>0</v>
      </c>
      <c r="G268" s="96">
        <v>14510.10949898</v>
      </c>
      <c r="H268" s="192">
        <v>1850533.5090780002</v>
      </c>
      <c r="I268" s="192">
        <v>40704.853163989996</v>
      </c>
      <c r="J268" s="192">
        <v>0</v>
      </c>
      <c r="K268" s="96">
        <v>0</v>
      </c>
      <c r="L268" s="96">
        <v>1025998.1522425299</v>
      </c>
      <c r="M268" s="96">
        <v>68279.73685874001</v>
      </c>
      <c r="N268" s="96">
        <v>0</v>
      </c>
      <c r="O268" s="96">
        <v>4697750.394973611</v>
      </c>
      <c r="P268" s="89" t="s">
        <v>28</v>
      </c>
    </row>
    <row r="269" spans="1:16" s="170" customFormat="1" ht="12.75">
      <c r="A269" s="89" t="s">
        <v>29</v>
      </c>
      <c r="B269" s="96">
        <f t="shared" si="24"/>
        <v>1575603.25627091</v>
      </c>
      <c r="C269" s="96">
        <v>1138628.93222296</v>
      </c>
      <c r="D269" s="96">
        <f>'[8]BSL'!$M$1549+'[8]BSL'!$M$1552+'[8]BSL'!$M$1555+'[8]BSL'!$M$1557+'[8]BSL'!$M$1558</f>
        <v>436961.14706008</v>
      </c>
      <c r="E269" s="96">
        <v>13.17698787</v>
      </c>
      <c r="F269" s="96">
        <v>0</v>
      </c>
      <c r="G269" s="96">
        <v>13712.554118980002</v>
      </c>
      <c r="H269" s="192">
        <v>1711240.1937263703</v>
      </c>
      <c r="I269" s="192">
        <v>40679.86010746</v>
      </c>
      <c r="J269" s="192">
        <v>20495.353579720002</v>
      </c>
      <c r="K269" s="96">
        <v>0</v>
      </c>
      <c r="L269" s="96">
        <v>1003656.7123296501</v>
      </c>
      <c r="M269" s="96">
        <v>67885.95497419001</v>
      </c>
      <c r="N269" s="96">
        <v>0</v>
      </c>
      <c r="O269" s="96">
        <v>4596235.283791851</v>
      </c>
      <c r="P269" s="89" t="s">
        <v>29</v>
      </c>
    </row>
    <row r="270" spans="1:16" s="170" customFormat="1" ht="12.75">
      <c r="A270" s="89" t="s">
        <v>30</v>
      </c>
      <c r="B270" s="96">
        <f t="shared" si="24"/>
        <v>1666649.6401825298</v>
      </c>
      <c r="C270" s="96">
        <v>1117988.69526538</v>
      </c>
      <c r="D270" s="96">
        <v>548647.76792928</v>
      </c>
      <c r="E270" s="96">
        <v>13.17698787</v>
      </c>
      <c r="F270" s="96">
        <v>0</v>
      </c>
      <c r="G270" s="96">
        <v>17200.525810940002</v>
      </c>
      <c r="H270" s="192">
        <v>1726271.8642151104</v>
      </c>
      <c r="I270" s="192">
        <v>40907.57462254</v>
      </c>
      <c r="J270" s="192">
        <v>0</v>
      </c>
      <c r="K270" s="96">
        <v>0</v>
      </c>
      <c r="L270" s="96">
        <v>1050363.26971486</v>
      </c>
      <c r="M270" s="96">
        <v>67631.78426548</v>
      </c>
      <c r="N270" s="96">
        <v>0</v>
      </c>
      <c r="O270" s="96">
        <v>4699357.73312983</v>
      </c>
      <c r="P270" s="89" t="s">
        <v>30</v>
      </c>
    </row>
    <row r="271" spans="1:16" s="170" customFormat="1" ht="12.75">
      <c r="A271" s="89" t="s">
        <v>31</v>
      </c>
      <c r="B271" s="96">
        <f t="shared" si="24"/>
        <v>1631054.8582401099</v>
      </c>
      <c r="C271" s="96">
        <v>1124157.7813259</v>
      </c>
      <c r="D271" s="96">
        <f>'[10]BSL'!$O$1567+'[10]BSL'!$O$1570+'[10]BSL'!$O$1572+'[10]BSL'!$O$1575+'[10]BSL'!$O$1577+'[10]BSL'!$O$1578</f>
        <v>506883.89992634003</v>
      </c>
      <c r="E271" s="96">
        <v>13.17698787</v>
      </c>
      <c r="F271" s="96">
        <v>0</v>
      </c>
      <c r="G271" s="96">
        <v>7732.622619240001</v>
      </c>
      <c r="H271" s="192">
        <v>1728238.5062994203</v>
      </c>
      <c r="I271" s="192">
        <v>41330.56317024</v>
      </c>
      <c r="J271" s="192">
        <v>0</v>
      </c>
      <c r="K271" s="96">
        <v>0</v>
      </c>
      <c r="L271" s="96">
        <v>1064890.18510065</v>
      </c>
      <c r="M271" s="96">
        <v>67392.36306101999</v>
      </c>
      <c r="N271" s="96">
        <v>0</v>
      </c>
      <c r="O271" s="96">
        <v>4660377.87760501</v>
      </c>
      <c r="P271" s="89" t="s">
        <v>31</v>
      </c>
    </row>
    <row r="272" spans="1:16" s="170" customFormat="1" ht="12.75">
      <c r="A272" s="89" t="s">
        <v>32</v>
      </c>
      <c r="B272" s="96">
        <f t="shared" si="24"/>
        <v>1574424.5748092998</v>
      </c>
      <c r="C272" s="96">
        <v>1129322.16556449</v>
      </c>
      <c r="D272" s="96">
        <f>'[10]BSL'!$P$1567+'[10]BSL'!$P$1570+'[10]BSL'!$P$1572+'[10]BSL'!$P$1575+'[10]BSL'!$P$1577+'[10]BSL'!$P$1578</f>
        <v>445089.23225693987</v>
      </c>
      <c r="E272" s="96">
        <v>13.17698787</v>
      </c>
      <c r="F272" s="96">
        <v>0</v>
      </c>
      <c r="G272" s="96">
        <v>7574.084995610001</v>
      </c>
      <c r="H272" s="192">
        <v>1779735.4627100101</v>
      </c>
      <c r="I272" s="192">
        <v>42976.360150559995</v>
      </c>
      <c r="J272" s="192">
        <v>0</v>
      </c>
      <c r="K272" s="96">
        <v>0</v>
      </c>
      <c r="L272" s="96">
        <v>1152623.8464719998</v>
      </c>
      <c r="M272" s="96">
        <v>67127.12923621</v>
      </c>
      <c r="N272" s="96">
        <v>0</v>
      </c>
      <c r="O272" s="96">
        <v>4746860.47517249</v>
      </c>
      <c r="P272" s="89" t="s">
        <v>32</v>
      </c>
    </row>
    <row r="273" spans="1:16" s="170" customFormat="1" ht="12.75">
      <c r="A273" s="89" t="s">
        <v>33</v>
      </c>
      <c r="B273" s="96">
        <f t="shared" si="24"/>
        <v>1618910.89177181</v>
      </c>
      <c r="C273" s="96">
        <v>1158329.60586348</v>
      </c>
      <c r="D273" s="96">
        <f>'[10]BSL'!$Q$1567+'[10]BSL'!$Q$1570+'[10]BSL'!$Q$1572+'[10]BSL'!$Q$1575+'[10]BSL'!$Q$1577+'[10]BSL'!$Q$1578</f>
        <v>460568.10892046004</v>
      </c>
      <c r="E273" s="96">
        <v>13.17698787</v>
      </c>
      <c r="F273" s="96">
        <v>0</v>
      </c>
      <c r="G273" s="96">
        <v>7417.71346311</v>
      </c>
      <c r="H273" s="192">
        <v>1816253.3264115104</v>
      </c>
      <c r="I273" s="192">
        <v>44538.089577080005</v>
      </c>
      <c r="J273" s="192">
        <v>0</v>
      </c>
      <c r="K273" s="96">
        <v>0</v>
      </c>
      <c r="L273" s="96">
        <v>1216786.3439395698</v>
      </c>
      <c r="M273" s="96">
        <v>68426.81256989</v>
      </c>
      <c r="N273" s="96">
        <v>0</v>
      </c>
      <c r="O273" s="96">
        <v>4898174.074928841</v>
      </c>
      <c r="P273" s="89" t="s">
        <v>33</v>
      </c>
    </row>
    <row r="274" spans="1:16" s="170" customFormat="1" ht="12.75">
      <c r="A274" s="89" t="s">
        <v>35</v>
      </c>
      <c r="B274" s="96">
        <f t="shared" si="24"/>
        <v>1617652.1367301599</v>
      </c>
      <c r="C274" s="96">
        <v>1164595.11515893</v>
      </c>
      <c r="D274" s="96">
        <f>'[10]BSL'!$R$1567+'[10]BSL'!$R$1570+'[10]BSL'!$R$1572+'[10]BSL'!$R$1575+'[10]BSL'!$R$1577+'[10]BSL'!$R$1578</f>
        <v>453042.84458336</v>
      </c>
      <c r="E274" s="96">
        <v>14.17698787</v>
      </c>
      <c r="F274" s="96">
        <v>0</v>
      </c>
      <c r="G274" s="96">
        <v>7070.413743110002</v>
      </c>
      <c r="H274" s="192">
        <v>1830107.4705066702</v>
      </c>
      <c r="I274" s="192">
        <v>45309.42410969</v>
      </c>
      <c r="J274" s="192">
        <v>0</v>
      </c>
      <c r="K274" s="96">
        <v>0</v>
      </c>
      <c r="L274" s="96">
        <v>1273668.2274932</v>
      </c>
      <c r="M274" s="96">
        <v>68492.98489174</v>
      </c>
      <c r="N274" s="96">
        <v>0</v>
      </c>
      <c r="O274" s="96">
        <v>4940436.266288859</v>
      </c>
      <c r="P274" s="89" t="s">
        <v>35</v>
      </c>
    </row>
    <row r="275" spans="1:16" s="170" customFormat="1" ht="12.75">
      <c r="A275" s="89" t="s">
        <v>36</v>
      </c>
      <c r="B275" s="96">
        <f t="shared" si="24"/>
        <v>1674460.9637950999</v>
      </c>
      <c r="C275" s="96">
        <v>1211971.12132686</v>
      </c>
      <c r="D275" s="96">
        <f>'[10]BSL'!$S$1567+'[10]BSL'!$S$1570+'[10]BSL'!$S$1572+'[10]BSL'!$S$1575+'[10]BSL'!$S$1577+'[10]BSL'!$S$1578</f>
        <v>462475.66548036993</v>
      </c>
      <c r="E275" s="96">
        <v>14.17698787</v>
      </c>
      <c r="F275" s="96">
        <v>0</v>
      </c>
      <c r="G275" s="96">
        <v>2710.7630231099997</v>
      </c>
      <c r="H275" s="192">
        <v>2104361.0587821803</v>
      </c>
      <c r="I275" s="192">
        <v>46893.07505549</v>
      </c>
      <c r="J275" s="192">
        <v>0</v>
      </c>
      <c r="K275" s="96">
        <v>0</v>
      </c>
      <c r="L275" s="96">
        <v>1320497.46504069</v>
      </c>
      <c r="M275" s="96">
        <v>64941.88940507</v>
      </c>
      <c r="N275" s="96">
        <v>0</v>
      </c>
      <c r="O275" s="96">
        <v>5314062.78974175</v>
      </c>
      <c r="P275" s="89" t="s">
        <v>36</v>
      </c>
    </row>
    <row r="276" spans="1:16" s="170" customFormat="1" ht="12.75">
      <c r="A276" s="89" t="s">
        <v>269</v>
      </c>
      <c r="B276" s="96">
        <f t="shared" si="24"/>
        <v>1723636.94474294</v>
      </c>
      <c r="C276" s="96">
        <v>1356503.6099164</v>
      </c>
      <c r="D276" s="96">
        <f>'[10]BSL'!$T$1567+'[10]BSL'!$T$1570+'[10]BSL'!$T$1572+'[10]BSL'!$T$1575+'[10]BSL'!$T$1577+'[10]BSL'!$T$1578</f>
        <v>367087.08442851005</v>
      </c>
      <c r="E276" s="96">
        <v>46.25039803</v>
      </c>
      <c r="F276" s="96">
        <v>0</v>
      </c>
      <c r="G276" s="96">
        <v>2707.05045811</v>
      </c>
      <c r="H276" s="192">
        <v>2131990.69996843</v>
      </c>
      <c r="I276" s="192">
        <v>47453.98824851</v>
      </c>
      <c r="J276" s="192">
        <v>0</v>
      </c>
      <c r="K276" s="96">
        <v>0</v>
      </c>
      <c r="L276" s="96">
        <v>1320117.52289624</v>
      </c>
      <c r="M276" s="96">
        <v>69561.42115211001</v>
      </c>
      <c r="N276" s="96">
        <v>0</v>
      </c>
      <c r="O276" s="96">
        <v>5370931.932893369</v>
      </c>
      <c r="P276" s="89" t="s">
        <v>37</v>
      </c>
    </row>
    <row r="277" spans="1:16" s="170" customFormat="1" ht="12.75">
      <c r="A277" s="89"/>
      <c r="B277" s="96"/>
      <c r="C277" s="96"/>
      <c r="D277" s="96"/>
      <c r="E277" s="96"/>
      <c r="F277" s="96"/>
      <c r="G277" s="96"/>
      <c r="H277" s="192"/>
      <c r="I277" s="192"/>
      <c r="J277" s="192"/>
      <c r="K277" s="96"/>
      <c r="L277" s="96"/>
      <c r="M277" s="96"/>
      <c r="N277" s="96"/>
      <c r="O277" s="96"/>
      <c r="P277" s="89"/>
    </row>
    <row r="278" spans="1:16" s="170" customFormat="1" ht="12.75">
      <c r="A278" s="260">
        <v>2016</v>
      </c>
      <c r="B278" s="96"/>
      <c r="C278" s="96"/>
      <c r="D278" s="96"/>
      <c r="E278" s="96"/>
      <c r="F278" s="96"/>
      <c r="G278" s="96"/>
      <c r="H278" s="192"/>
      <c r="I278" s="192"/>
      <c r="J278" s="192"/>
      <c r="K278" s="96"/>
      <c r="L278" s="96"/>
      <c r="M278" s="96"/>
      <c r="N278" s="96"/>
      <c r="O278" s="96"/>
      <c r="P278" s="260">
        <v>2016</v>
      </c>
    </row>
    <row r="279" spans="1:16" s="170" customFormat="1" ht="12.75">
      <c r="A279" s="89" t="s">
        <v>25</v>
      </c>
      <c r="B279" s="96">
        <f t="shared" si="24"/>
        <v>1707602.75717667</v>
      </c>
      <c r="C279" s="96">
        <v>1231129.10606286</v>
      </c>
      <c r="D279" s="96">
        <f>'[14]BSL'!$W$1544+'[14]BSL'!$W$1549+'[14]BSL'!$W$1552+'[14]BSL'!$W$1554+'[14]BSL'!$W$1555+'[14]BSL'!$V$1547</f>
        <v>476427.40071578004</v>
      </c>
      <c r="E279" s="96">
        <v>46.25039803</v>
      </c>
      <c r="F279" s="96">
        <v>0</v>
      </c>
      <c r="G279" s="96">
        <v>2703.41805811</v>
      </c>
      <c r="H279" s="192">
        <v>2152676.0392934103</v>
      </c>
      <c r="I279" s="192">
        <v>48256.332684589994</v>
      </c>
      <c r="J279" s="192">
        <v>0</v>
      </c>
      <c r="K279" s="96">
        <v>0</v>
      </c>
      <c r="L279" s="96">
        <v>1335544.91895295</v>
      </c>
      <c r="M279" s="96">
        <v>69245.39066625001</v>
      </c>
      <c r="N279" s="96">
        <v>0</v>
      </c>
      <c r="O279" s="96">
        <v>5403458.04962169</v>
      </c>
      <c r="P279" s="89" t="s">
        <v>25</v>
      </c>
    </row>
    <row r="280" spans="1:16" s="170" customFormat="1" ht="12.75">
      <c r="A280" s="89" t="s">
        <v>26</v>
      </c>
      <c r="B280" s="96">
        <f t="shared" si="24"/>
        <v>1713606.55835715</v>
      </c>
      <c r="C280" s="96">
        <v>1237209.81827905</v>
      </c>
      <c r="D280" s="96">
        <f>'[14]BSL'!$Y$1544+'[14]BSL'!$Y$1547+'[14]BSL'!$Y$1549+'[14]BSL'!$Y$1552+'[14]BSL'!$Y$1554+'[14]BSL'!$Y$1555</f>
        <v>476350.48968007</v>
      </c>
      <c r="E280" s="96">
        <v>46.25039803</v>
      </c>
      <c r="F280" s="96">
        <v>0</v>
      </c>
      <c r="G280" s="96">
        <v>2711.5137556100003</v>
      </c>
      <c r="H280" s="192">
        <v>2882891.0357885105</v>
      </c>
      <c r="I280" s="192">
        <v>48864.16045342</v>
      </c>
      <c r="J280" s="192">
        <v>0</v>
      </c>
      <c r="K280" s="96">
        <v>0</v>
      </c>
      <c r="L280" s="96">
        <v>1454080.17481679</v>
      </c>
      <c r="M280" s="96">
        <v>71509.11092069998</v>
      </c>
      <c r="N280" s="96">
        <v>0</v>
      </c>
      <c r="O280" s="96">
        <v>6276433.382967861</v>
      </c>
      <c r="P280" s="89" t="s">
        <v>26</v>
      </c>
    </row>
    <row r="281" spans="1:16" s="170" customFormat="1" ht="12.75">
      <c r="A281" s="89" t="s">
        <v>27</v>
      </c>
      <c r="B281" s="96">
        <f t="shared" si="24"/>
        <v>1693551.6554268799</v>
      </c>
      <c r="C281" s="96">
        <v>1299986.64326705</v>
      </c>
      <c r="D281" s="96">
        <f>'[14]BSL'!$AA$1544+'[14]BSL'!$AA$1547+'[14]BSL'!$AA$1549+'[14]BSL'!$AA$1552+'[14]BSL'!$AA$1554+'[14]BSL'!$AA$1555</f>
        <v>393518.76176180004</v>
      </c>
      <c r="E281" s="96">
        <v>46.25039803</v>
      </c>
      <c r="F281" s="96">
        <v>0</v>
      </c>
      <c r="G281" s="96">
        <v>2688.1586571100006</v>
      </c>
      <c r="H281" s="192">
        <v>2929115.59911605</v>
      </c>
      <c r="I281" s="192">
        <v>49871.87712678</v>
      </c>
      <c r="J281" s="192">
        <v>0</v>
      </c>
      <c r="K281" s="96">
        <v>0</v>
      </c>
      <c r="L281" s="96">
        <v>1578078.09704422</v>
      </c>
      <c r="M281" s="96">
        <v>71201.33894115</v>
      </c>
      <c r="N281" s="96">
        <v>0</v>
      </c>
      <c r="O281" s="96">
        <v>6409490.271002201</v>
      </c>
      <c r="P281" s="89" t="s">
        <v>27</v>
      </c>
    </row>
    <row r="282" spans="1:16" s="170" customFormat="1" ht="12.75">
      <c r="A282" s="89" t="s">
        <v>28</v>
      </c>
      <c r="B282" s="96">
        <f t="shared" si="24"/>
        <v>1690078.4245137</v>
      </c>
      <c r="C282" s="96">
        <v>1284694.88683703</v>
      </c>
      <c r="D282" s="96">
        <f>'[14]BSL'!$AC$1544+'[14]BSL'!$AC$1547+'[14]BSL'!$AC$1549+'[14]BSL'!$AC$1552+'[14]BSL'!$AC$1554+'[14]BSL'!$AC$1555</f>
        <v>405337.28727863997</v>
      </c>
      <c r="E282" s="96">
        <v>46.25039803</v>
      </c>
      <c r="F282" s="96">
        <v>0</v>
      </c>
      <c r="G282" s="96">
        <v>4396.85095711</v>
      </c>
      <c r="H282" s="192">
        <v>2975412.3497045506</v>
      </c>
      <c r="I282" s="192">
        <v>50868.612002580005</v>
      </c>
      <c r="J282" s="192">
        <v>0</v>
      </c>
      <c r="K282" s="96">
        <v>0</v>
      </c>
      <c r="L282" s="96">
        <v>1674307.25048935</v>
      </c>
      <c r="M282" s="96">
        <v>71935.02021871</v>
      </c>
      <c r="N282" s="96">
        <v>0</v>
      </c>
      <c r="O282" s="96">
        <v>6550708.952801482</v>
      </c>
      <c r="P282" s="89" t="s">
        <v>28</v>
      </c>
    </row>
    <row r="283" spans="1:16" s="170" customFormat="1" ht="12.75">
      <c r="A283" s="89" t="s">
        <v>29</v>
      </c>
      <c r="B283" s="96">
        <f t="shared" si="24"/>
        <v>1699352.1985410398</v>
      </c>
      <c r="C283" s="96">
        <v>1258374.89152245</v>
      </c>
      <c r="D283" s="96">
        <f>'[14]BSL'!$AE$1544+'[14]BSL'!$AE$1547+'[14]BSL'!$AE$1549+'[14]BSL'!$AE$1552+'[14]BSL'!$AE$1554+'[14]BSL'!$AE$1555</f>
        <v>440931.05662055995</v>
      </c>
      <c r="E283" s="96">
        <v>46.25039803</v>
      </c>
      <c r="F283" s="96">
        <v>0</v>
      </c>
      <c r="G283" s="96">
        <v>7331.628414610001</v>
      </c>
      <c r="H283" s="192">
        <v>3345636.49264059</v>
      </c>
      <c r="I283" s="192">
        <v>51253.395675980006</v>
      </c>
      <c r="J283" s="192">
        <v>0</v>
      </c>
      <c r="K283" s="96">
        <v>0</v>
      </c>
      <c r="L283" s="96">
        <v>1326220.2131373598</v>
      </c>
      <c r="M283" s="96">
        <v>72314.75556834</v>
      </c>
      <c r="N283" s="96">
        <v>0</v>
      </c>
      <c r="O283" s="96">
        <v>6602111.53197643</v>
      </c>
      <c r="P283" s="89" t="s">
        <v>29</v>
      </c>
    </row>
    <row r="284" spans="1:16" s="170" customFormat="1" ht="12.75">
      <c r="A284" s="89" t="s">
        <v>30</v>
      </c>
      <c r="B284" s="96">
        <f t="shared" si="24"/>
        <v>1699533.02437723</v>
      </c>
      <c r="C284" s="96">
        <v>1246582.3616230201</v>
      </c>
      <c r="D284" s="96">
        <f>'[14]BSL'!$AF$1544+'[14]BSL'!$AF$1547+'[14]BSL'!$AF$1549+'[14]BSL'!$AF$1552+'[14]BSL'!$AF$1554+'[14]BSL'!$AF$1555</f>
        <v>452904.41235618</v>
      </c>
      <c r="E284" s="96">
        <v>46.25039803</v>
      </c>
      <c r="F284" s="96">
        <v>0</v>
      </c>
      <c r="G284" s="96">
        <v>7143.557344610001</v>
      </c>
      <c r="H284" s="192">
        <v>3352363.34288843</v>
      </c>
      <c r="I284" s="192">
        <v>51871.36372532</v>
      </c>
      <c r="J284" s="192">
        <v>0</v>
      </c>
      <c r="K284" s="96">
        <v>0</v>
      </c>
      <c r="L284" s="96">
        <v>1252104.12193391</v>
      </c>
      <c r="M284" s="96">
        <v>72630.07900125</v>
      </c>
      <c r="N284" s="96">
        <v>0</v>
      </c>
      <c r="O284" s="96">
        <v>6505906.4041521</v>
      </c>
      <c r="P284" s="89" t="s">
        <v>30</v>
      </c>
    </row>
    <row r="285" spans="1:16" s="170" customFormat="1" ht="12.75">
      <c r="A285" s="89" t="s">
        <v>31</v>
      </c>
      <c r="B285" s="96">
        <f>SUM(C285:E285)</f>
        <v>1744405</v>
      </c>
      <c r="C285" s="96">
        <v>1268429</v>
      </c>
      <c r="D285" s="96">
        <f>1744405-(C285+E285)</f>
        <v>475929.74960196996</v>
      </c>
      <c r="E285" s="96">
        <v>46.25039803</v>
      </c>
      <c r="F285" s="96">
        <v>0</v>
      </c>
      <c r="G285" s="96">
        <v>14285</v>
      </c>
      <c r="H285" s="192">
        <v>3536019</v>
      </c>
      <c r="I285" s="192">
        <v>51303</v>
      </c>
      <c r="J285" s="192">
        <v>0</v>
      </c>
      <c r="K285" s="96">
        <v>0</v>
      </c>
      <c r="L285" s="96">
        <v>1188218</v>
      </c>
      <c r="M285" s="96">
        <v>71807</v>
      </c>
      <c r="N285" s="96">
        <v>0</v>
      </c>
      <c r="O285" s="96">
        <v>6765122</v>
      </c>
      <c r="P285" s="89" t="s">
        <v>30</v>
      </c>
    </row>
    <row r="286" spans="1:16" s="170" customFormat="1" ht="12.75">
      <c r="A286" s="89" t="s">
        <v>32</v>
      </c>
      <c r="B286" s="96">
        <f>SUM(C286:E286)</f>
        <v>1662742</v>
      </c>
      <c r="C286" s="96">
        <v>1244940</v>
      </c>
      <c r="D286" s="96">
        <f>1662742-(C286+E286)</f>
        <v>417755.74960196996</v>
      </c>
      <c r="E286" s="96">
        <v>46.25039803</v>
      </c>
      <c r="F286" s="96">
        <v>0</v>
      </c>
      <c r="G286" s="96">
        <v>5300</v>
      </c>
      <c r="H286" s="192">
        <v>3597305</v>
      </c>
      <c r="I286" s="192">
        <v>52880</v>
      </c>
      <c r="J286" s="192">
        <v>0</v>
      </c>
      <c r="K286" s="96">
        <v>0</v>
      </c>
      <c r="L286" s="96">
        <v>1279828</v>
      </c>
      <c r="M286" s="96">
        <v>73789</v>
      </c>
      <c r="N286" s="96">
        <v>0</v>
      </c>
      <c r="O286" s="96">
        <v>6794790</v>
      </c>
      <c r="P286" s="89" t="s">
        <v>30</v>
      </c>
    </row>
    <row r="287" spans="1:16" s="170" customFormat="1" ht="12.75">
      <c r="A287" s="89" t="s">
        <v>33</v>
      </c>
      <c r="B287" s="96">
        <f>SUM(C287:E287)</f>
        <v>1645168</v>
      </c>
      <c r="C287" s="96">
        <v>1233683</v>
      </c>
      <c r="D287" s="96">
        <f>1645168-(C287+E287)</f>
        <v>411438.74960196996</v>
      </c>
      <c r="E287" s="96">
        <v>46.25039803</v>
      </c>
      <c r="F287" s="96">
        <v>0</v>
      </c>
      <c r="G287" s="96">
        <v>4115</v>
      </c>
      <c r="H287" s="192">
        <v>3684006</v>
      </c>
      <c r="I287" s="192">
        <v>55311</v>
      </c>
      <c r="J287" s="192">
        <v>0</v>
      </c>
      <c r="K287" s="96">
        <v>0</v>
      </c>
      <c r="L287" s="96">
        <v>1411587</v>
      </c>
      <c r="M287" s="96">
        <v>77132</v>
      </c>
      <c r="N287" s="96">
        <v>0</v>
      </c>
      <c r="O287" s="96">
        <v>6993249</v>
      </c>
      <c r="P287" s="89" t="s">
        <v>30</v>
      </c>
    </row>
    <row r="288" spans="1:16" s="170" customFormat="1" ht="12.75">
      <c r="A288" s="89" t="s">
        <v>35</v>
      </c>
      <c r="B288" s="96">
        <f>SUM(C288:E288)</f>
        <v>0</v>
      </c>
      <c r="C288" s="96"/>
      <c r="D288" s="96"/>
      <c r="E288" s="96"/>
      <c r="F288" s="96"/>
      <c r="G288" s="96"/>
      <c r="H288" s="192"/>
      <c r="I288" s="192"/>
      <c r="J288" s="192"/>
      <c r="K288" s="96"/>
      <c r="L288" s="96"/>
      <c r="M288" s="96"/>
      <c r="N288" s="96"/>
      <c r="O288" s="96"/>
      <c r="P288" s="89" t="s">
        <v>30</v>
      </c>
    </row>
    <row r="289" spans="1:16" s="170" customFormat="1" ht="12.75">
      <c r="A289" s="89"/>
      <c r="B289" s="96"/>
      <c r="C289" s="96"/>
      <c r="D289" s="96"/>
      <c r="E289" s="96"/>
      <c r="F289" s="96"/>
      <c r="G289" s="96"/>
      <c r="H289" s="192"/>
      <c r="I289" s="192"/>
      <c r="J289" s="192"/>
      <c r="K289" s="96"/>
      <c r="L289" s="96"/>
      <c r="M289" s="96"/>
      <c r="N289" s="96"/>
      <c r="O289" s="96"/>
      <c r="P289" s="89"/>
    </row>
    <row r="290" spans="1:16" s="170" customFormat="1" ht="12.75">
      <c r="A290" s="89"/>
      <c r="B290" s="96"/>
      <c r="C290" s="96"/>
      <c r="D290" s="96"/>
      <c r="E290" s="96"/>
      <c r="F290" s="96"/>
      <c r="G290" s="96"/>
      <c r="H290" s="192"/>
      <c r="I290" s="192"/>
      <c r="J290" s="192"/>
      <c r="K290" s="96"/>
      <c r="L290" s="96"/>
      <c r="M290" s="96"/>
      <c r="N290" s="96"/>
      <c r="O290" s="96"/>
      <c r="P290" s="89"/>
    </row>
    <row r="291" spans="1:26" s="275" customFormat="1" ht="13.5">
      <c r="A291" s="270" t="s">
        <v>237</v>
      </c>
      <c r="B291" s="271" t="s">
        <v>244</v>
      </c>
      <c r="C291" s="272"/>
      <c r="D291" s="273"/>
      <c r="E291" s="273"/>
      <c r="F291" s="273"/>
      <c r="G291" s="273"/>
      <c r="H291" s="273"/>
      <c r="I291" s="293"/>
      <c r="J291" s="293"/>
      <c r="K291" s="273"/>
      <c r="L291" s="274"/>
      <c r="M291" s="273"/>
      <c r="N291" s="273"/>
      <c r="O291" s="272"/>
      <c r="P291" s="272"/>
      <c r="Q291" s="272"/>
      <c r="R291" s="272"/>
      <c r="S291" s="272"/>
      <c r="T291" s="272"/>
      <c r="U291" s="272"/>
      <c r="V291" s="272"/>
      <c r="W291" s="270"/>
      <c r="Z291" s="276"/>
    </row>
    <row r="292" ht="12.75"/>
    <row r="293" spans="1:14" ht="12.75">
      <c r="A293" s="72"/>
      <c r="C293" s="123"/>
      <c r="D293" s="2"/>
      <c r="E293" s="106"/>
      <c r="F293" s="106"/>
      <c r="G293" s="128"/>
      <c r="H293" s="128"/>
      <c r="M293" s="154"/>
      <c r="N293" s="96"/>
    </row>
    <row r="294" spans="1:15" ht="12.75">
      <c r="A294" s="81" t="s">
        <v>112</v>
      </c>
      <c r="D294" s="2"/>
      <c r="G294" s="128"/>
      <c r="H294" s="128"/>
      <c r="K294" s="156"/>
      <c r="L294" s="128"/>
      <c r="M294" s="128"/>
      <c r="N294" s="128"/>
      <c r="O294" s="156"/>
    </row>
    <row r="295" spans="1:16" ht="15">
      <c r="A295" s="81" t="s">
        <v>243</v>
      </c>
      <c r="H295" s="128"/>
      <c r="I295" s="164"/>
      <c r="K295" s="156"/>
      <c r="M295" s="128"/>
      <c r="P295" s="100"/>
    </row>
    <row r="296" spans="1:13" ht="15">
      <c r="A296" s="81" t="s">
        <v>270</v>
      </c>
      <c r="C296" s="128"/>
      <c r="D296" s="128"/>
      <c r="E296" s="128"/>
      <c r="F296" s="128"/>
      <c r="G296" s="128"/>
      <c r="H296" s="128"/>
      <c r="I296" s="164"/>
      <c r="M296" s="128"/>
    </row>
    <row r="297" spans="1:13" ht="12.75">
      <c r="A297" s="71" t="s">
        <v>38</v>
      </c>
      <c r="C297" s="123"/>
      <c r="E297" s="123"/>
      <c r="H297" s="128"/>
      <c r="M297" s="154"/>
    </row>
    <row r="298" spans="6:8" ht="12.75">
      <c r="F298" s="128"/>
      <c r="G298" s="128"/>
      <c r="H298" s="128"/>
    </row>
    <row r="299" spans="6:8" ht="12.75">
      <c r="F299" s="128"/>
      <c r="G299" s="128"/>
      <c r="H299" s="128"/>
    </row>
    <row r="300" spans="4:8" ht="12.75">
      <c r="D300" s="128"/>
      <c r="F300" s="128"/>
      <c r="G300" s="128"/>
      <c r="H300" s="128"/>
    </row>
    <row r="301" spans="4:6" ht="12.75">
      <c r="D301" s="128"/>
      <c r="F301" s="128"/>
    </row>
    <row r="302" spans="4:6" ht="12.75">
      <c r="D302" s="128"/>
      <c r="F302" s="128"/>
    </row>
    <row r="303" ht="12.75">
      <c r="D303" s="128"/>
    </row>
    <row r="304" spans="3:6" ht="12.75">
      <c r="C304" s="128"/>
      <c r="D304" s="128"/>
      <c r="E304" s="128"/>
      <c r="F304" s="128"/>
    </row>
    <row r="342" ht="12.75"/>
    <row r="343" ht="12.75"/>
    <row r="344" ht="12.75"/>
  </sheetData>
  <sheetProtection/>
  <mergeCells count="3">
    <mergeCell ref="A1:P1"/>
    <mergeCell ref="A2:P2"/>
    <mergeCell ref="J4:K4"/>
  </mergeCells>
  <printOptions horizontalCentered="1"/>
  <pageMargins left="0" right="0" top="0.118110236220472" bottom="0.0393700787401575" header="0.275590551181102" footer="0.196850393700787"/>
  <pageSetup fitToHeight="1" fitToWidth="1" horizontalDpi="600" verticalDpi="600" orientation="landscape" paperSize="9" scale="64" r:id="rId3"/>
  <headerFooter alignWithMargins="0">
    <oddFooter>&amp;L&amp;D&amp;R&amp;T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6"/>
  <sheetViews>
    <sheetView view="pageBreakPreview" zoomScale="75" zoomScaleNormal="90" zoomScaleSheetLayoutView="75" zoomScalePageLayoutView="0" workbookViewId="0" topLeftCell="A1">
      <pane xSplit="1" ySplit="7" topLeftCell="F24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278" sqref="P278"/>
    </sheetView>
  </sheetViews>
  <sheetFormatPr defaultColWidth="9.33203125" defaultRowHeight="12.75"/>
  <cols>
    <col min="1" max="1" width="20.16015625" style="109" customWidth="1"/>
    <col min="2" max="2" width="15.66015625" style="104" customWidth="1"/>
    <col min="3" max="3" width="16.66015625" style="104" customWidth="1"/>
    <col min="4" max="4" width="19.83203125" style="104" customWidth="1"/>
    <col min="5" max="5" width="14.16015625" style="104" customWidth="1"/>
    <col min="6" max="6" width="14.66015625" style="104" customWidth="1"/>
    <col min="7" max="7" width="20.66015625" style="104" customWidth="1"/>
    <col min="8" max="8" width="23.66015625" style="104" customWidth="1"/>
    <col min="9" max="9" width="31.16015625" style="104" customWidth="1"/>
    <col min="10" max="10" width="15.83203125" style="104" customWidth="1"/>
    <col min="11" max="11" width="16.5" style="104" bestFit="1" customWidth="1"/>
    <col min="12" max="12" width="15.83203125" style="104" customWidth="1"/>
    <col min="13" max="13" width="17.83203125" style="104" customWidth="1"/>
    <col min="14" max="14" width="18.5" style="104" bestFit="1" customWidth="1"/>
    <col min="15" max="15" width="20.66015625" style="104" bestFit="1" customWidth="1"/>
    <col min="16" max="16" width="15.83203125" style="104" customWidth="1"/>
    <col min="17" max="17" width="15.66015625" style="109" bestFit="1" customWidth="1"/>
    <col min="18" max="18" width="9.33203125" style="104" customWidth="1"/>
    <col min="19" max="19" width="12.66015625" style="104" bestFit="1" customWidth="1"/>
    <col min="20" max="16384" width="9.33203125" style="104" customWidth="1"/>
  </cols>
  <sheetData>
    <row r="1" spans="1:17" ht="20.25">
      <c r="A1" s="356" t="s">
        <v>119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</row>
    <row r="2" spans="1:17" ht="20.25" customHeight="1">
      <c r="A2" s="353" t="s">
        <v>0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</row>
    <row r="3" spans="1:17" ht="13.5" thickBot="1">
      <c r="A3" s="130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0"/>
    </row>
    <row r="4" spans="1:18" ht="15.75" thickBot="1">
      <c r="A4" s="42"/>
      <c r="B4" s="13" t="s">
        <v>39</v>
      </c>
      <c r="C4" s="14"/>
      <c r="D4" s="15"/>
      <c r="E4" s="161"/>
      <c r="F4" s="357" t="s">
        <v>251</v>
      </c>
      <c r="G4" s="358"/>
      <c r="H4" s="359"/>
      <c r="I4" s="16"/>
      <c r="J4" s="16"/>
      <c r="K4" s="12"/>
      <c r="L4" s="17"/>
      <c r="M4" s="16"/>
      <c r="N4" s="16"/>
      <c r="O4" s="16"/>
      <c r="P4" s="12"/>
      <c r="Q4" s="42"/>
      <c r="R4" s="112"/>
    </row>
    <row r="5" spans="1:18" ht="14.25">
      <c r="A5" s="18" t="s">
        <v>40</v>
      </c>
      <c r="B5" s="19" t="s">
        <v>41</v>
      </c>
      <c r="C5" s="20" t="s">
        <v>42</v>
      </c>
      <c r="D5" s="21" t="s">
        <v>18</v>
      </c>
      <c r="E5" s="21" t="s">
        <v>43</v>
      </c>
      <c r="F5" s="19" t="s">
        <v>41</v>
      </c>
      <c r="G5" s="20" t="s">
        <v>142</v>
      </c>
      <c r="H5" s="84" t="s">
        <v>44</v>
      </c>
      <c r="I5" s="21" t="s">
        <v>159</v>
      </c>
      <c r="J5" s="21" t="s">
        <v>4</v>
      </c>
      <c r="K5" s="18" t="s">
        <v>45</v>
      </c>
      <c r="L5" s="20" t="s">
        <v>45</v>
      </c>
      <c r="M5" s="21" t="s">
        <v>4</v>
      </c>
      <c r="N5" s="21" t="s">
        <v>4</v>
      </c>
      <c r="O5" s="21" t="s">
        <v>46</v>
      </c>
      <c r="P5" s="18" t="s">
        <v>41</v>
      </c>
      <c r="Q5" s="22" t="s">
        <v>2</v>
      </c>
      <c r="R5" s="112"/>
    </row>
    <row r="6" spans="1:18" ht="15" thickBot="1">
      <c r="A6" s="23" t="s">
        <v>12</v>
      </c>
      <c r="B6" s="24"/>
      <c r="C6" s="25"/>
      <c r="D6" s="26" t="s">
        <v>47</v>
      </c>
      <c r="E6" s="26" t="s">
        <v>48</v>
      </c>
      <c r="F6" s="24"/>
      <c r="G6" s="25"/>
      <c r="H6" s="25" t="s">
        <v>259</v>
      </c>
      <c r="I6" s="26" t="s">
        <v>158</v>
      </c>
      <c r="J6" s="26" t="s">
        <v>50</v>
      </c>
      <c r="K6" s="23" t="s">
        <v>51</v>
      </c>
      <c r="L6" s="25" t="s">
        <v>52</v>
      </c>
      <c r="M6" s="26" t="s">
        <v>174</v>
      </c>
      <c r="N6" s="26" t="s">
        <v>53</v>
      </c>
      <c r="O6" s="26" t="s">
        <v>48</v>
      </c>
      <c r="P6" s="23" t="s">
        <v>48</v>
      </c>
      <c r="Q6" s="23" t="s">
        <v>12</v>
      </c>
      <c r="R6" s="112"/>
    </row>
    <row r="7" spans="1:17" ht="15" thickBo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/>
      <c r="J7" s="23">
        <v>9</v>
      </c>
      <c r="K7" s="23">
        <v>10</v>
      </c>
      <c r="L7" s="23">
        <v>11</v>
      </c>
      <c r="M7" s="23"/>
      <c r="N7" s="23">
        <v>12</v>
      </c>
      <c r="O7" s="23">
        <v>13</v>
      </c>
      <c r="P7" s="23">
        <v>14</v>
      </c>
      <c r="Q7" s="23">
        <v>15</v>
      </c>
    </row>
    <row r="8" ht="12.75">
      <c r="A8" s="109" t="s">
        <v>172</v>
      </c>
    </row>
    <row r="9" spans="1:17" ht="12.75" hidden="1">
      <c r="A9" s="43">
        <v>1996</v>
      </c>
      <c r="B9" s="123">
        <f>C9+D9</f>
        <v>5927</v>
      </c>
      <c r="C9" s="123">
        <v>2672</v>
      </c>
      <c r="D9" s="123">
        <v>3255</v>
      </c>
      <c r="E9" s="123">
        <v>18079</v>
      </c>
      <c r="F9" s="123">
        <v>18470</v>
      </c>
      <c r="G9" s="123">
        <v>15754</v>
      </c>
      <c r="H9" s="123">
        <v>2621</v>
      </c>
      <c r="I9" s="123"/>
      <c r="J9" s="123">
        <v>30</v>
      </c>
      <c r="K9" s="123">
        <v>20705</v>
      </c>
      <c r="L9" s="123">
        <v>598</v>
      </c>
      <c r="M9" s="123"/>
      <c r="N9" s="123">
        <v>1082</v>
      </c>
      <c r="O9" s="123">
        <v>16141</v>
      </c>
      <c r="P9" s="123">
        <v>81031</v>
      </c>
      <c r="Q9" s="43">
        <v>1996</v>
      </c>
    </row>
    <row r="10" spans="1:17" ht="12.75" hidden="1">
      <c r="A10" s="43">
        <v>1997</v>
      </c>
      <c r="B10" s="123">
        <f>C10+D10</f>
        <v>26240</v>
      </c>
      <c r="C10" s="123">
        <v>3722</v>
      </c>
      <c r="D10" s="123">
        <v>22518</v>
      </c>
      <c r="E10" s="123">
        <v>20852</v>
      </c>
      <c r="F10" s="123">
        <v>10311</v>
      </c>
      <c r="G10" s="123">
        <v>9342</v>
      </c>
      <c r="H10" s="123">
        <v>906</v>
      </c>
      <c r="I10" s="123"/>
      <c r="J10" s="123">
        <v>335</v>
      </c>
      <c r="K10" s="123">
        <v>24506</v>
      </c>
      <c r="L10" s="123">
        <v>594</v>
      </c>
      <c r="M10" s="123"/>
      <c r="N10" s="123">
        <v>2912</v>
      </c>
      <c r="O10" s="123">
        <v>14082</v>
      </c>
      <c r="P10" s="123">
        <v>99832</v>
      </c>
      <c r="Q10" s="43">
        <v>1997</v>
      </c>
    </row>
    <row r="11" spans="1:17" ht="12.75" hidden="1">
      <c r="A11" s="43">
        <v>1998</v>
      </c>
      <c r="B11" s="123">
        <f>C11+D11</f>
        <v>8088</v>
      </c>
      <c r="C11" s="123">
        <v>3732</v>
      </c>
      <c r="D11" s="123">
        <v>4356</v>
      </c>
      <c r="E11" s="123">
        <v>30555</v>
      </c>
      <c r="F11" s="123">
        <v>41161</v>
      </c>
      <c r="G11" s="123">
        <v>40039</v>
      </c>
      <c r="H11" s="123">
        <v>2325</v>
      </c>
      <c r="I11" s="123"/>
      <c r="J11" s="123">
        <v>63</v>
      </c>
      <c r="K11" s="123">
        <v>26895</v>
      </c>
      <c r="L11" s="123">
        <v>2094</v>
      </c>
      <c r="M11" s="123"/>
      <c r="N11" s="123">
        <v>751</v>
      </c>
      <c r="O11" s="123">
        <v>15965</v>
      </c>
      <c r="P11" s="123">
        <v>125571</v>
      </c>
      <c r="Q11" s="43">
        <v>1998</v>
      </c>
    </row>
    <row r="12" spans="1:17" ht="12.75" hidden="1">
      <c r="A12" s="43">
        <v>1999</v>
      </c>
      <c r="B12" s="123">
        <f>B52</f>
        <v>23229</v>
      </c>
      <c r="C12" s="123">
        <f aca="true" t="shared" si="0" ref="C12:P12">C52</f>
        <v>5036</v>
      </c>
      <c r="D12" s="123">
        <f t="shared" si="0"/>
        <v>18193</v>
      </c>
      <c r="E12" s="123">
        <f t="shared" si="0"/>
        <v>40852</v>
      </c>
      <c r="F12" s="123">
        <f t="shared" si="0"/>
        <v>0</v>
      </c>
      <c r="G12" s="123">
        <f t="shared" si="0"/>
        <v>70049</v>
      </c>
      <c r="H12" s="123">
        <f t="shared" si="0"/>
        <v>1700</v>
      </c>
      <c r="I12" s="123">
        <f t="shared" si="0"/>
        <v>0</v>
      </c>
      <c r="J12" s="123">
        <f t="shared" si="0"/>
        <v>68</v>
      </c>
      <c r="K12" s="123">
        <f t="shared" si="0"/>
        <v>24234</v>
      </c>
      <c r="L12" s="123">
        <f t="shared" si="0"/>
        <v>2165</v>
      </c>
      <c r="M12" s="123">
        <f t="shared" si="0"/>
        <v>0</v>
      </c>
      <c r="N12" s="123">
        <f t="shared" si="0"/>
        <v>1198</v>
      </c>
      <c r="O12" s="123">
        <f t="shared" si="0"/>
        <v>23464</v>
      </c>
      <c r="P12" s="123">
        <f t="shared" si="0"/>
        <v>187420</v>
      </c>
      <c r="Q12" s="43">
        <v>1999</v>
      </c>
    </row>
    <row r="13" spans="1:17" ht="12.75" hidden="1">
      <c r="A13" s="43">
        <v>2000</v>
      </c>
      <c r="B13" s="123">
        <f>C13+D13</f>
        <v>20543</v>
      </c>
      <c r="C13" s="123">
        <v>7000</v>
      </c>
      <c r="D13" s="123">
        <v>13543</v>
      </c>
      <c r="E13" s="123">
        <v>40611</v>
      </c>
      <c r="F13" s="123">
        <v>73094</v>
      </c>
      <c r="G13" s="123">
        <v>67440</v>
      </c>
      <c r="H13" s="123">
        <v>5179</v>
      </c>
      <c r="I13" s="123"/>
      <c r="J13" s="123">
        <v>622</v>
      </c>
      <c r="K13" s="123">
        <v>27035</v>
      </c>
      <c r="L13" s="123">
        <v>9461</v>
      </c>
      <c r="M13" s="123"/>
      <c r="N13" s="123">
        <v>2482</v>
      </c>
      <c r="O13" s="123">
        <v>43338</v>
      </c>
      <c r="P13" s="123">
        <v>217186</v>
      </c>
      <c r="Q13" s="43">
        <v>2000</v>
      </c>
    </row>
    <row r="14" spans="1:17" ht="12.75" hidden="1">
      <c r="A14" s="43">
        <v>2001</v>
      </c>
      <c r="B14" s="123">
        <f>B66</f>
        <v>17047</v>
      </c>
      <c r="C14" s="123">
        <f aca="true" t="shared" si="1" ref="C14:P14">C66</f>
        <v>9785</v>
      </c>
      <c r="D14" s="123">
        <f t="shared" si="1"/>
        <v>7262</v>
      </c>
      <c r="E14" s="123">
        <f t="shared" si="1"/>
        <v>47295</v>
      </c>
      <c r="F14" s="123">
        <f t="shared" si="1"/>
        <v>100748</v>
      </c>
      <c r="G14" s="123">
        <f t="shared" si="1"/>
        <v>91200</v>
      </c>
      <c r="H14" s="123">
        <f t="shared" si="1"/>
        <v>9356</v>
      </c>
      <c r="I14" s="123">
        <f t="shared" si="1"/>
        <v>0</v>
      </c>
      <c r="J14" s="123">
        <f t="shared" si="1"/>
        <v>486</v>
      </c>
      <c r="K14" s="123">
        <f t="shared" si="1"/>
        <v>32973</v>
      </c>
      <c r="L14" s="123">
        <f t="shared" si="1"/>
        <v>11649</v>
      </c>
      <c r="M14" s="123">
        <f t="shared" si="1"/>
        <v>0</v>
      </c>
      <c r="N14" s="123">
        <f t="shared" si="1"/>
        <v>5403</v>
      </c>
      <c r="O14" s="123">
        <f t="shared" si="1"/>
        <v>51034</v>
      </c>
      <c r="P14" s="123">
        <f t="shared" si="1"/>
        <v>266616</v>
      </c>
      <c r="Q14" s="43">
        <v>2001</v>
      </c>
    </row>
    <row r="15" spans="1:17" ht="12.75" hidden="1">
      <c r="A15" s="43">
        <v>2002</v>
      </c>
      <c r="B15" s="123">
        <f>B81</f>
        <v>21696</v>
      </c>
      <c r="C15" s="123">
        <f aca="true" t="shared" si="2" ref="C15:P15">C81</f>
        <v>10579</v>
      </c>
      <c r="D15" s="123">
        <f t="shared" si="2"/>
        <v>11117</v>
      </c>
      <c r="E15" s="123">
        <f t="shared" si="2"/>
        <v>58383</v>
      </c>
      <c r="F15" s="123">
        <f t="shared" si="2"/>
        <v>130035</v>
      </c>
      <c r="G15" s="123">
        <f t="shared" si="2"/>
        <v>115165</v>
      </c>
      <c r="H15" s="123">
        <f t="shared" si="2"/>
        <v>14776</v>
      </c>
      <c r="I15" s="123">
        <f t="shared" si="2"/>
        <v>0</v>
      </c>
      <c r="J15" s="123">
        <f t="shared" si="2"/>
        <v>950</v>
      </c>
      <c r="K15" s="123">
        <f t="shared" si="2"/>
        <v>50559</v>
      </c>
      <c r="L15" s="123">
        <f t="shared" si="2"/>
        <v>16732</v>
      </c>
      <c r="M15" s="123">
        <f t="shared" si="2"/>
        <v>0</v>
      </c>
      <c r="N15" s="123">
        <f t="shared" si="2"/>
        <v>4760</v>
      </c>
      <c r="O15" s="123">
        <f t="shared" si="2"/>
        <v>73662</v>
      </c>
      <c r="P15" s="123">
        <f t="shared" si="2"/>
        <v>356777</v>
      </c>
      <c r="Q15" s="43">
        <v>2002</v>
      </c>
    </row>
    <row r="16" spans="1:17" ht="12.75" hidden="1">
      <c r="A16" s="43">
        <v>2003</v>
      </c>
      <c r="B16" s="123">
        <f>B95</f>
        <v>20099</v>
      </c>
      <c r="C16" s="123">
        <f aca="true" t="shared" si="3" ref="C16:P16">C95</f>
        <v>11140</v>
      </c>
      <c r="D16" s="123">
        <f t="shared" si="3"/>
        <v>8959</v>
      </c>
      <c r="E16" s="123">
        <f t="shared" si="3"/>
        <v>78839</v>
      </c>
      <c r="F16" s="123">
        <f t="shared" si="3"/>
        <v>121829</v>
      </c>
      <c r="G16" s="123">
        <f t="shared" si="3"/>
        <v>107492</v>
      </c>
      <c r="H16" s="123">
        <f t="shared" si="3"/>
        <v>13963</v>
      </c>
      <c r="I16" s="123">
        <f t="shared" si="3"/>
        <v>0</v>
      </c>
      <c r="J16" s="123">
        <f t="shared" si="3"/>
        <v>3647</v>
      </c>
      <c r="K16" s="123">
        <f t="shared" si="3"/>
        <v>91406</v>
      </c>
      <c r="L16" s="123">
        <f t="shared" si="3"/>
        <v>14397</v>
      </c>
      <c r="M16" s="123">
        <f t="shared" si="3"/>
        <v>0</v>
      </c>
      <c r="N16" s="123">
        <f t="shared" si="3"/>
        <v>8232</v>
      </c>
      <c r="O16" s="123">
        <f t="shared" si="3"/>
        <v>61329</v>
      </c>
      <c r="P16" s="123">
        <f t="shared" si="3"/>
        <v>399778</v>
      </c>
      <c r="Q16" s="43">
        <v>2003</v>
      </c>
    </row>
    <row r="17" spans="1:17" s="132" customFormat="1" ht="12.75" customHeight="1" hidden="1">
      <c r="A17" s="43">
        <v>2004</v>
      </c>
      <c r="B17" s="105">
        <f>B109</f>
        <v>27999</v>
      </c>
      <c r="C17" s="105">
        <f aca="true" t="shared" si="4" ref="C17:P17">C109</f>
        <v>16692</v>
      </c>
      <c r="D17" s="105">
        <f t="shared" si="4"/>
        <v>11307</v>
      </c>
      <c r="E17" s="105">
        <f t="shared" si="4"/>
        <v>100055</v>
      </c>
      <c r="F17" s="105">
        <f t="shared" si="4"/>
        <v>151374</v>
      </c>
      <c r="G17" s="105">
        <f t="shared" si="4"/>
        <v>141917</v>
      </c>
      <c r="H17" s="105">
        <f t="shared" si="4"/>
        <v>7972</v>
      </c>
      <c r="I17" s="105">
        <f t="shared" si="4"/>
        <v>0</v>
      </c>
      <c r="J17" s="105">
        <f t="shared" si="4"/>
        <v>3440</v>
      </c>
      <c r="K17" s="105">
        <f t="shared" si="4"/>
        <v>133362</v>
      </c>
      <c r="L17" s="105">
        <f t="shared" si="4"/>
        <v>15547</v>
      </c>
      <c r="M17" s="105">
        <f t="shared" si="4"/>
        <v>0</v>
      </c>
      <c r="N17" s="105">
        <f t="shared" si="4"/>
        <v>5158</v>
      </c>
      <c r="O17" s="105">
        <f t="shared" si="4"/>
        <v>63520</v>
      </c>
      <c r="P17" s="105">
        <f t="shared" si="4"/>
        <v>500455</v>
      </c>
      <c r="Q17" s="43">
        <v>2004</v>
      </c>
    </row>
    <row r="18" spans="1:17" ht="12.75" hidden="1">
      <c r="A18" s="43">
        <v>2005</v>
      </c>
      <c r="B18" s="105">
        <f>B124</f>
        <v>56276</v>
      </c>
      <c r="C18" s="105">
        <f aca="true" t="shared" si="5" ref="C18:P18">C124</f>
        <v>23804</v>
      </c>
      <c r="D18" s="105">
        <f t="shared" si="5"/>
        <v>32472</v>
      </c>
      <c r="E18" s="105">
        <f t="shared" si="5"/>
        <v>149884</v>
      </c>
      <c r="F18" s="105">
        <f t="shared" si="5"/>
        <v>205695</v>
      </c>
      <c r="G18" s="105">
        <f t="shared" si="5"/>
        <v>194546</v>
      </c>
      <c r="H18" s="105">
        <f t="shared" si="5"/>
        <v>8752</v>
      </c>
      <c r="I18" s="105">
        <f t="shared" si="5"/>
        <v>0</v>
      </c>
      <c r="J18" s="105">
        <f t="shared" si="5"/>
        <v>4338</v>
      </c>
      <c r="K18" s="105">
        <f t="shared" si="5"/>
        <v>154052</v>
      </c>
      <c r="L18" s="105">
        <f t="shared" si="5"/>
        <v>16649</v>
      </c>
      <c r="M18" s="105">
        <f t="shared" si="5"/>
        <v>0</v>
      </c>
      <c r="N18" s="105">
        <f t="shared" si="5"/>
        <v>13164</v>
      </c>
      <c r="O18" s="105">
        <f t="shared" si="5"/>
        <v>99128</v>
      </c>
      <c r="P18" s="105">
        <f t="shared" si="5"/>
        <v>699186</v>
      </c>
      <c r="Q18" s="43">
        <v>2005</v>
      </c>
    </row>
    <row r="19" spans="1:17" ht="12.75" customHeight="1">
      <c r="A19" s="6">
        <v>2006</v>
      </c>
      <c r="B19" s="105">
        <f>B138</f>
        <v>39860</v>
      </c>
      <c r="C19" s="105">
        <f aca="true" t="shared" si="6" ref="C19:P19">C138</f>
        <v>19277</v>
      </c>
      <c r="D19" s="105">
        <f t="shared" si="6"/>
        <v>20583</v>
      </c>
      <c r="E19" s="105">
        <f t="shared" si="6"/>
        <v>209626</v>
      </c>
      <c r="F19" s="105">
        <f t="shared" si="6"/>
        <v>225039</v>
      </c>
      <c r="G19" s="105">
        <f t="shared" si="6"/>
        <v>192696</v>
      </c>
      <c r="H19" s="105">
        <f t="shared" si="6"/>
        <v>29534</v>
      </c>
      <c r="I19" s="105">
        <f t="shared" si="6"/>
        <v>9400</v>
      </c>
      <c r="J19" s="105">
        <f t="shared" si="6"/>
        <v>5228</v>
      </c>
      <c r="K19" s="105">
        <f t="shared" si="6"/>
        <v>186409</v>
      </c>
      <c r="L19" s="105">
        <f t="shared" si="6"/>
        <v>14114</v>
      </c>
      <c r="M19" s="105">
        <f t="shared" si="6"/>
        <v>0</v>
      </c>
      <c r="N19" s="105">
        <f t="shared" si="6"/>
        <v>14869</v>
      </c>
      <c r="O19" s="105">
        <f t="shared" si="6"/>
        <v>124208</v>
      </c>
      <c r="P19" s="105">
        <f t="shared" si="6"/>
        <v>828754</v>
      </c>
      <c r="Q19" s="6">
        <v>2006</v>
      </c>
    </row>
    <row r="20" spans="1:17" s="78" customFormat="1" ht="15" customHeight="1">
      <c r="A20" s="6">
        <v>2007</v>
      </c>
      <c r="B20" s="105">
        <f>B152</f>
        <v>65454.09150725</v>
      </c>
      <c r="C20" s="105">
        <f aca="true" t="shared" si="7" ref="C20:P20">C152</f>
        <v>40328.70416235</v>
      </c>
      <c r="D20" s="105">
        <f t="shared" si="7"/>
        <v>25125.387344900002</v>
      </c>
      <c r="E20" s="105">
        <f t="shared" si="7"/>
        <v>346445.36714183004</v>
      </c>
      <c r="F20" s="105">
        <f t="shared" si="7"/>
        <v>219322.20755893</v>
      </c>
      <c r="G20" s="105">
        <f t="shared" si="7"/>
        <v>200865</v>
      </c>
      <c r="H20" s="105">
        <f t="shared" si="7"/>
        <v>10951.078837500001</v>
      </c>
      <c r="I20" s="105">
        <f t="shared" si="7"/>
        <v>13000</v>
      </c>
      <c r="J20" s="105">
        <f t="shared" si="7"/>
        <v>8372.764</v>
      </c>
      <c r="K20" s="105">
        <f t="shared" si="7"/>
        <v>260804.68429245002</v>
      </c>
      <c r="L20" s="105">
        <f t="shared" si="7"/>
        <v>7081.59095266</v>
      </c>
      <c r="M20" s="105">
        <f t="shared" si="7"/>
        <v>0</v>
      </c>
      <c r="N20" s="105">
        <f t="shared" si="7"/>
        <v>20238.174368869997</v>
      </c>
      <c r="O20" s="105">
        <f t="shared" si="7"/>
        <v>177565.90860112</v>
      </c>
      <c r="P20" s="105">
        <f t="shared" si="7"/>
        <v>1118284.78842311</v>
      </c>
      <c r="Q20" s="6">
        <v>2007</v>
      </c>
    </row>
    <row r="21" spans="1:17" s="78" customFormat="1" ht="15" customHeight="1">
      <c r="A21" s="6">
        <v>2008</v>
      </c>
      <c r="B21" s="105">
        <f>B166</f>
        <v>93159.89674421001</v>
      </c>
      <c r="C21" s="105">
        <f aca="true" t="shared" si="8" ref="C21:P21">C166</f>
        <v>42943.23497553</v>
      </c>
      <c r="D21" s="105">
        <f t="shared" si="8"/>
        <v>50216.66176868</v>
      </c>
      <c r="E21" s="105">
        <f t="shared" si="8"/>
        <v>356038.39031378005</v>
      </c>
      <c r="F21" s="105">
        <f t="shared" si="8"/>
        <v>317212.4001386</v>
      </c>
      <c r="G21" s="105">
        <f t="shared" si="8"/>
        <v>299527</v>
      </c>
      <c r="H21" s="105">
        <f t="shared" si="8"/>
        <v>9300.7</v>
      </c>
      <c r="I21" s="105">
        <f t="shared" si="8"/>
        <v>74700</v>
      </c>
      <c r="J21" s="105">
        <f t="shared" si="8"/>
        <v>17277.123</v>
      </c>
      <c r="K21" s="105">
        <f t="shared" si="8"/>
        <v>406426.63325927994</v>
      </c>
      <c r="L21" s="105">
        <f t="shared" si="8"/>
        <v>24395.19846534</v>
      </c>
      <c r="M21" s="105">
        <f t="shared" si="8"/>
        <v>0</v>
      </c>
      <c r="N21" s="105">
        <f t="shared" si="8"/>
        <v>27182.080057889998</v>
      </c>
      <c r="O21" s="105">
        <f t="shared" si="8"/>
        <v>249425.27570121002</v>
      </c>
      <c r="P21" s="105">
        <f t="shared" si="8"/>
        <v>1565816.99768031</v>
      </c>
      <c r="Q21" s="6">
        <v>2008</v>
      </c>
    </row>
    <row r="22" spans="1:17" s="78" customFormat="1" ht="15" customHeight="1">
      <c r="A22" s="6">
        <v>2009</v>
      </c>
      <c r="B22" s="105">
        <f>B180</f>
        <v>124778.08835652999</v>
      </c>
      <c r="C22" s="105">
        <f aca="true" t="shared" si="9" ref="C22:P22">C180</f>
        <v>65516.954343679994</v>
      </c>
      <c r="D22" s="105">
        <f t="shared" si="9"/>
        <v>59261.134012849994</v>
      </c>
      <c r="E22" s="105">
        <f t="shared" si="9"/>
        <v>542263.406465488</v>
      </c>
      <c r="F22" s="105">
        <f t="shared" si="9"/>
        <v>263412.04667938</v>
      </c>
      <c r="G22" s="105">
        <f t="shared" si="9"/>
        <v>248794</v>
      </c>
      <c r="H22" s="105">
        <f t="shared" si="9"/>
        <v>0</v>
      </c>
      <c r="I22" s="105">
        <f t="shared" si="9"/>
        <v>97358.5</v>
      </c>
      <c r="J22" s="105">
        <f t="shared" si="9"/>
        <v>31295.09107609</v>
      </c>
      <c r="K22" s="105">
        <f t="shared" si="9"/>
        <v>594072.6899451421</v>
      </c>
      <c r="L22" s="105">
        <f t="shared" si="9"/>
        <v>30461.87139033</v>
      </c>
      <c r="M22" s="105">
        <f t="shared" si="9"/>
        <v>0</v>
      </c>
      <c r="N22" s="105">
        <f t="shared" si="9"/>
        <v>38146.97905636</v>
      </c>
      <c r="O22" s="105">
        <f t="shared" si="9"/>
        <v>304293.97088992916</v>
      </c>
      <c r="P22" s="105">
        <f t="shared" si="9"/>
        <v>2026082.6438592495</v>
      </c>
      <c r="Q22" s="6">
        <v>2009</v>
      </c>
    </row>
    <row r="23" spans="1:17" s="78" customFormat="1" ht="15" customHeight="1">
      <c r="A23" s="6">
        <v>2010</v>
      </c>
      <c r="B23" s="105">
        <f>B194</f>
        <v>168846</v>
      </c>
      <c r="C23" s="105">
        <f aca="true" t="shared" si="10" ref="C23:P23">C194</f>
        <v>74250</v>
      </c>
      <c r="D23" s="105">
        <f t="shared" si="10"/>
        <v>94597</v>
      </c>
      <c r="E23" s="105">
        <f t="shared" si="10"/>
        <v>703456</v>
      </c>
      <c r="F23" s="105">
        <f t="shared" si="10"/>
        <v>326521.0370029001</v>
      </c>
      <c r="G23" s="105">
        <f t="shared" si="10"/>
        <v>308375</v>
      </c>
      <c r="H23" s="105">
        <f t="shared" si="10"/>
        <v>0</v>
      </c>
      <c r="I23" s="105">
        <f t="shared" si="10"/>
        <v>149851</v>
      </c>
      <c r="J23" s="105">
        <f t="shared" si="10"/>
        <v>54012</v>
      </c>
      <c r="K23" s="105">
        <f t="shared" si="10"/>
        <v>783523</v>
      </c>
      <c r="L23" s="105">
        <f t="shared" si="10"/>
        <v>21964</v>
      </c>
      <c r="M23" s="105">
        <f t="shared" si="10"/>
        <v>0</v>
      </c>
      <c r="N23" s="105">
        <f t="shared" si="10"/>
        <v>41594</v>
      </c>
      <c r="O23" s="105">
        <f t="shared" si="10"/>
        <v>284597</v>
      </c>
      <c r="P23" s="105">
        <f t="shared" si="10"/>
        <v>2534363</v>
      </c>
      <c r="Q23" s="6">
        <v>2010</v>
      </c>
    </row>
    <row r="24" spans="1:17" s="78" customFormat="1" ht="15" customHeight="1">
      <c r="A24" s="6">
        <v>2011</v>
      </c>
      <c r="B24" s="105">
        <f>B209</f>
        <v>182379</v>
      </c>
      <c r="C24" s="105">
        <f aca="true" t="shared" si="11" ref="C24:P24">C209</f>
        <v>65669</v>
      </c>
      <c r="D24" s="105">
        <f t="shared" si="11"/>
        <v>116710</v>
      </c>
      <c r="E24" s="105">
        <f t="shared" si="11"/>
        <v>949227</v>
      </c>
      <c r="F24" s="105">
        <f t="shared" si="11"/>
        <v>561572</v>
      </c>
      <c r="G24" s="105">
        <f t="shared" si="11"/>
        <v>466946</v>
      </c>
      <c r="H24" s="105">
        <f t="shared" si="11"/>
        <v>15448</v>
      </c>
      <c r="I24" s="105">
        <f t="shared" si="11"/>
        <v>24827</v>
      </c>
      <c r="J24" s="105">
        <f t="shared" si="11"/>
        <v>53494</v>
      </c>
      <c r="K24" s="105">
        <f t="shared" si="11"/>
        <v>955897</v>
      </c>
      <c r="L24" s="105">
        <f t="shared" si="11"/>
        <v>35749</v>
      </c>
      <c r="M24" s="105">
        <f t="shared" si="11"/>
        <v>4000</v>
      </c>
      <c r="N24" s="105">
        <f t="shared" si="11"/>
        <v>56513</v>
      </c>
      <c r="O24" s="105">
        <f t="shared" si="11"/>
        <v>316712</v>
      </c>
      <c r="P24" s="105">
        <f t="shared" si="11"/>
        <v>3115542</v>
      </c>
      <c r="Q24" s="6">
        <v>2011</v>
      </c>
    </row>
    <row r="25" spans="1:17" s="190" customFormat="1" ht="12.75">
      <c r="A25" s="6">
        <v>2012</v>
      </c>
      <c r="B25" s="105">
        <f>B224</f>
        <v>201390.84233743</v>
      </c>
      <c r="C25" s="105">
        <f aca="true" t="shared" si="12" ref="C25:P25">C224</f>
        <v>112803.1818504</v>
      </c>
      <c r="D25" s="105">
        <f t="shared" si="12"/>
        <v>88587.66048702998</v>
      </c>
      <c r="E25" s="105">
        <f t="shared" si="12"/>
        <v>1193365.0570744486</v>
      </c>
      <c r="F25" s="105">
        <f t="shared" si="12"/>
        <v>859598.9717819401</v>
      </c>
      <c r="G25" s="105">
        <f t="shared" si="12"/>
        <v>802713.46414804</v>
      </c>
      <c r="H25" s="105">
        <f t="shared" si="12"/>
        <v>1165.8</v>
      </c>
      <c r="I25" s="105">
        <f t="shared" si="12"/>
        <v>0</v>
      </c>
      <c r="J25" s="105">
        <f t="shared" si="12"/>
        <v>74913.70467194</v>
      </c>
      <c r="K25" s="105">
        <f t="shared" si="12"/>
        <v>1014898.6938020324</v>
      </c>
      <c r="L25" s="105">
        <f t="shared" si="12"/>
        <v>45986.148150967914</v>
      </c>
      <c r="M25" s="105">
        <f t="shared" si="12"/>
        <v>0</v>
      </c>
      <c r="N25" s="105">
        <f t="shared" si="12"/>
        <v>21293.9447037</v>
      </c>
      <c r="O25" s="105">
        <f t="shared" si="12"/>
        <v>339441.7851802267</v>
      </c>
      <c r="P25" s="105">
        <f t="shared" si="12"/>
        <v>3740973.3867026847</v>
      </c>
      <c r="Q25" s="6">
        <v>2012</v>
      </c>
    </row>
    <row r="26" spans="1:17" s="190" customFormat="1" ht="12.75">
      <c r="A26" s="6">
        <v>2013</v>
      </c>
      <c r="B26" s="105">
        <f>C26+D26</f>
        <v>349758</v>
      </c>
      <c r="C26" s="105">
        <v>131029</v>
      </c>
      <c r="D26" s="105">
        <v>218729</v>
      </c>
      <c r="E26" s="105">
        <v>1320984</v>
      </c>
      <c r="F26" s="105">
        <v>1218866</v>
      </c>
      <c r="G26" s="105">
        <v>1141885</v>
      </c>
      <c r="H26" s="105">
        <v>0</v>
      </c>
      <c r="I26" s="105">
        <v>0</v>
      </c>
      <c r="J26" s="105">
        <v>200047</v>
      </c>
      <c r="K26" s="105">
        <v>988548</v>
      </c>
      <c r="L26" s="105">
        <v>39625</v>
      </c>
      <c r="M26" s="105">
        <v>0</v>
      </c>
      <c r="N26" s="105">
        <v>42733</v>
      </c>
      <c r="O26" s="105">
        <v>352604</v>
      </c>
      <c r="P26" s="105">
        <v>4513166</v>
      </c>
      <c r="Q26" s="6">
        <v>2013</v>
      </c>
    </row>
    <row r="27" spans="1:17" s="78" customFormat="1" ht="15" customHeight="1">
      <c r="A27" s="6"/>
      <c r="B27" s="105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6"/>
    </row>
    <row r="28" spans="1:17" ht="12.75" hidden="1">
      <c r="A28" s="43">
        <v>1997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43">
        <v>1997</v>
      </c>
    </row>
    <row r="29" spans="1:17" ht="12.75" hidden="1">
      <c r="A29" s="43" t="s">
        <v>27</v>
      </c>
      <c r="B29" s="123"/>
      <c r="C29" s="123">
        <v>2028</v>
      </c>
      <c r="D29" s="123">
        <v>1899</v>
      </c>
      <c r="E29" s="123">
        <v>19173</v>
      </c>
      <c r="F29" s="123"/>
      <c r="G29" s="123">
        <v>18734</v>
      </c>
      <c r="H29" s="123">
        <v>2578</v>
      </c>
      <c r="I29" s="123"/>
      <c r="J29" s="123">
        <v>559</v>
      </c>
      <c r="K29" s="123">
        <v>21207</v>
      </c>
      <c r="L29" s="123">
        <v>499</v>
      </c>
      <c r="M29" s="123"/>
      <c r="N29" s="123">
        <v>1190</v>
      </c>
      <c r="O29" s="123">
        <v>15342</v>
      </c>
      <c r="P29" s="123">
        <v>83270</v>
      </c>
      <c r="Q29" s="43" t="s">
        <v>27</v>
      </c>
    </row>
    <row r="30" spans="1:17" ht="12.75" hidden="1">
      <c r="A30" s="43" t="s">
        <v>30</v>
      </c>
      <c r="B30" s="123"/>
      <c r="C30" s="123">
        <v>2600</v>
      </c>
      <c r="D30" s="123">
        <v>12535</v>
      </c>
      <c r="E30" s="123">
        <v>19227</v>
      </c>
      <c r="F30" s="123"/>
      <c r="G30" s="123">
        <v>8482</v>
      </c>
      <c r="H30" s="123">
        <v>3157</v>
      </c>
      <c r="I30" s="123"/>
      <c r="J30" s="123">
        <v>335</v>
      </c>
      <c r="K30" s="123">
        <v>18602</v>
      </c>
      <c r="L30" s="123">
        <v>597</v>
      </c>
      <c r="M30" s="123"/>
      <c r="N30" s="123">
        <v>2902</v>
      </c>
      <c r="O30" s="123">
        <v>14353</v>
      </c>
      <c r="P30" s="123">
        <v>88271</v>
      </c>
      <c r="Q30" s="43" t="s">
        <v>30</v>
      </c>
    </row>
    <row r="31" spans="1:17" ht="12.75" hidden="1">
      <c r="A31" s="43" t="s">
        <v>33</v>
      </c>
      <c r="B31" s="123"/>
      <c r="C31" s="123">
        <v>3265</v>
      </c>
      <c r="D31" s="123">
        <v>13820</v>
      </c>
      <c r="E31" s="123">
        <v>20322</v>
      </c>
      <c r="F31" s="123"/>
      <c r="G31" s="123">
        <v>11537</v>
      </c>
      <c r="H31" s="123">
        <v>2609</v>
      </c>
      <c r="I31" s="123"/>
      <c r="J31" s="123">
        <v>335</v>
      </c>
      <c r="K31" s="123">
        <v>18602</v>
      </c>
      <c r="L31" s="123">
        <v>597</v>
      </c>
      <c r="M31" s="123"/>
      <c r="N31" s="123">
        <v>2746</v>
      </c>
      <c r="O31" s="123">
        <v>15411</v>
      </c>
      <c r="P31" s="123">
        <v>95140</v>
      </c>
      <c r="Q31" s="43" t="s">
        <v>33</v>
      </c>
    </row>
    <row r="32" spans="1:17" ht="12.75" hidden="1">
      <c r="A32" s="43" t="s">
        <v>37</v>
      </c>
      <c r="B32" s="123"/>
      <c r="C32" s="123">
        <v>3722</v>
      </c>
      <c r="D32" s="123">
        <v>22518</v>
      </c>
      <c r="E32" s="123">
        <v>20852</v>
      </c>
      <c r="F32" s="123"/>
      <c r="G32" s="123">
        <v>9342</v>
      </c>
      <c r="H32" s="123">
        <v>906</v>
      </c>
      <c r="I32" s="123"/>
      <c r="J32" s="123">
        <v>335</v>
      </c>
      <c r="K32" s="123">
        <v>24506</v>
      </c>
      <c r="L32" s="123">
        <v>594</v>
      </c>
      <c r="M32" s="123"/>
      <c r="N32" s="123">
        <v>2912</v>
      </c>
      <c r="O32" s="123">
        <v>14082</v>
      </c>
      <c r="P32" s="123">
        <v>99832</v>
      </c>
      <c r="Q32" s="43" t="s">
        <v>37</v>
      </c>
    </row>
    <row r="33" spans="1:17" ht="12.75" hidden="1">
      <c r="A33" s="4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43"/>
    </row>
    <row r="34" spans="1:17" ht="12.75" hidden="1">
      <c r="A34" s="43">
        <v>1998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43">
        <v>1998</v>
      </c>
    </row>
    <row r="35" spans="1:17" ht="12.75" hidden="1">
      <c r="A35" s="43" t="s">
        <v>27</v>
      </c>
      <c r="B35" s="123"/>
      <c r="C35" s="123">
        <v>3697</v>
      </c>
      <c r="D35" s="123">
        <v>28079</v>
      </c>
      <c r="E35" s="123">
        <v>21707</v>
      </c>
      <c r="F35" s="123"/>
      <c r="G35" s="123">
        <v>7361</v>
      </c>
      <c r="H35" s="123">
        <v>596</v>
      </c>
      <c r="I35" s="123"/>
      <c r="J35" s="123">
        <v>335</v>
      </c>
      <c r="K35" s="123">
        <v>24643</v>
      </c>
      <c r="L35" s="123">
        <v>594</v>
      </c>
      <c r="M35" s="123"/>
      <c r="N35" s="123">
        <v>2881</v>
      </c>
      <c r="O35" s="123">
        <v>14296</v>
      </c>
      <c r="P35" s="123">
        <v>104252</v>
      </c>
      <c r="Q35" s="43" t="s">
        <v>27</v>
      </c>
    </row>
    <row r="36" spans="1:17" ht="12.75" hidden="1">
      <c r="A36" s="43" t="s">
        <v>30</v>
      </c>
      <c r="B36" s="123"/>
      <c r="C36" s="123">
        <v>5121</v>
      </c>
      <c r="D36" s="123">
        <v>16412</v>
      </c>
      <c r="E36" s="123">
        <v>28048</v>
      </c>
      <c r="F36" s="123"/>
      <c r="G36" s="123">
        <v>32067</v>
      </c>
      <c r="H36" s="123">
        <v>2500</v>
      </c>
      <c r="I36" s="123"/>
      <c r="J36" s="123">
        <v>28</v>
      </c>
      <c r="K36" s="123">
        <v>22080</v>
      </c>
      <c r="L36" s="123">
        <v>1237</v>
      </c>
      <c r="M36" s="123"/>
      <c r="N36" s="123">
        <v>1151</v>
      </c>
      <c r="O36" s="123">
        <v>13281</v>
      </c>
      <c r="P36" s="123">
        <v>123568</v>
      </c>
      <c r="Q36" s="43" t="s">
        <v>30</v>
      </c>
    </row>
    <row r="37" spans="1:17" ht="12.75" hidden="1">
      <c r="A37" s="43" t="s">
        <v>33</v>
      </c>
      <c r="B37" s="123"/>
      <c r="C37" s="123">
        <v>3305</v>
      </c>
      <c r="D37" s="123">
        <v>8596</v>
      </c>
      <c r="E37" s="123">
        <v>32550</v>
      </c>
      <c r="F37" s="123"/>
      <c r="G37" s="123">
        <v>34051</v>
      </c>
      <c r="H37" s="123">
        <v>800</v>
      </c>
      <c r="I37" s="123"/>
      <c r="J37" s="123">
        <v>57</v>
      </c>
      <c r="K37" s="123">
        <v>28071</v>
      </c>
      <c r="L37" s="123">
        <v>2299</v>
      </c>
      <c r="M37" s="123"/>
      <c r="N37" s="123">
        <v>1524</v>
      </c>
      <c r="O37" s="123">
        <v>14857</v>
      </c>
      <c r="P37" s="123">
        <v>126286</v>
      </c>
      <c r="Q37" s="43" t="s">
        <v>33</v>
      </c>
    </row>
    <row r="38" spans="1:17" ht="12.75" hidden="1">
      <c r="A38" s="43" t="s">
        <v>37</v>
      </c>
      <c r="B38" s="123"/>
      <c r="C38" s="123">
        <v>3732</v>
      </c>
      <c r="D38" s="123">
        <v>4356</v>
      </c>
      <c r="E38" s="123">
        <v>30555</v>
      </c>
      <c r="F38" s="123"/>
      <c r="G38" s="123">
        <v>40039</v>
      </c>
      <c r="H38" s="123">
        <v>2325</v>
      </c>
      <c r="I38" s="123"/>
      <c r="J38" s="123">
        <v>63</v>
      </c>
      <c r="K38" s="123">
        <v>26895</v>
      </c>
      <c r="L38" s="123">
        <v>2094</v>
      </c>
      <c r="M38" s="123"/>
      <c r="N38" s="123">
        <v>751</v>
      </c>
      <c r="O38" s="123">
        <v>15965</v>
      </c>
      <c r="P38" s="123">
        <v>125571</v>
      </c>
      <c r="Q38" s="43" t="s">
        <v>37</v>
      </c>
    </row>
    <row r="39" spans="1:17" ht="12.75" hidden="1">
      <c r="A39" s="4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43"/>
    </row>
    <row r="40" spans="1:17" ht="12.75" hidden="1">
      <c r="A40" s="43">
        <v>1999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43">
        <v>1999</v>
      </c>
    </row>
    <row r="41" spans="1:17" ht="12.75" hidden="1">
      <c r="A41" s="43" t="s">
        <v>25</v>
      </c>
      <c r="B41" s="123"/>
      <c r="C41" s="123">
        <v>3777</v>
      </c>
      <c r="D41" s="123">
        <v>10517</v>
      </c>
      <c r="E41" s="123">
        <v>30904</v>
      </c>
      <c r="F41" s="123"/>
      <c r="G41" s="123">
        <v>37077</v>
      </c>
      <c r="H41" s="123">
        <v>2325</v>
      </c>
      <c r="I41" s="123"/>
      <c r="J41" s="123">
        <v>65</v>
      </c>
      <c r="K41" s="123">
        <v>25980</v>
      </c>
      <c r="L41" s="123">
        <v>2093</v>
      </c>
      <c r="M41" s="123"/>
      <c r="N41" s="123">
        <v>734</v>
      </c>
      <c r="O41" s="123">
        <v>16230</v>
      </c>
      <c r="P41" s="123">
        <v>128543</v>
      </c>
      <c r="Q41" s="43" t="s">
        <v>25</v>
      </c>
    </row>
    <row r="42" spans="1:17" ht="12.75" hidden="1">
      <c r="A42" s="43" t="s">
        <v>26</v>
      </c>
      <c r="B42" s="123"/>
      <c r="C42" s="123">
        <v>3494</v>
      </c>
      <c r="D42" s="123">
        <v>7870</v>
      </c>
      <c r="E42" s="123">
        <v>30285</v>
      </c>
      <c r="F42" s="123"/>
      <c r="G42" s="123">
        <v>40251</v>
      </c>
      <c r="H42" s="123">
        <v>2325</v>
      </c>
      <c r="I42" s="123"/>
      <c r="J42" s="123">
        <v>62</v>
      </c>
      <c r="K42" s="123">
        <v>25748</v>
      </c>
      <c r="L42" s="123">
        <v>2094</v>
      </c>
      <c r="M42" s="123"/>
      <c r="N42" s="123">
        <v>604</v>
      </c>
      <c r="O42" s="123">
        <v>17330</v>
      </c>
      <c r="P42" s="123">
        <v>129059</v>
      </c>
      <c r="Q42" s="43" t="s">
        <v>26</v>
      </c>
    </row>
    <row r="43" spans="1:17" ht="14.25" hidden="1">
      <c r="A43" s="18" t="s">
        <v>135</v>
      </c>
      <c r="B43" s="123"/>
      <c r="C43" s="123">
        <v>5814</v>
      </c>
      <c r="D43" s="123">
        <v>26626</v>
      </c>
      <c r="E43" s="123">
        <v>29764</v>
      </c>
      <c r="F43" s="123"/>
      <c r="G43" s="123">
        <v>31853</v>
      </c>
      <c r="H43" s="123">
        <v>2325</v>
      </c>
      <c r="I43" s="123"/>
      <c r="J43" s="123">
        <v>62</v>
      </c>
      <c r="K43" s="123">
        <v>26015</v>
      </c>
      <c r="L43" s="123">
        <v>2071</v>
      </c>
      <c r="M43" s="123"/>
      <c r="N43" s="123">
        <v>396</v>
      </c>
      <c r="O43" s="123">
        <v>16678</v>
      </c>
      <c r="P43" s="123">
        <v>140534</v>
      </c>
      <c r="Q43" s="18" t="s">
        <v>135</v>
      </c>
    </row>
    <row r="44" spans="1:17" ht="14.25" hidden="1">
      <c r="A44" s="18" t="s">
        <v>28</v>
      </c>
      <c r="B44" s="123"/>
      <c r="C44" s="123">
        <v>3500</v>
      </c>
      <c r="D44" s="123">
        <v>14806</v>
      </c>
      <c r="E44" s="123">
        <v>29140</v>
      </c>
      <c r="F44" s="123"/>
      <c r="G44" s="123">
        <v>48902</v>
      </c>
      <c r="H44" s="123">
        <v>2330</v>
      </c>
      <c r="I44" s="123"/>
      <c r="J44" s="123">
        <v>54</v>
      </c>
      <c r="K44" s="123">
        <v>25482</v>
      </c>
      <c r="L44" s="123">
        <v>526</v>
      </c>
      <c r="M44" s="123"/>
      <c r="N44" s="123">
        <v>754</v>
      </c>
      <c r="O44" s="123">
        <v>16662</v>
      </c>
      <c r="P44" s="123">
        <v>142674</v>
      </c>
      <c r="Q44" s="18"/>
    </row>
    <row r="45" spans="1:17" ht="14.25" hidden="1">
      <c r="A45" s="18" t="s">
        <v>29</v>
      </c>
      <c r="B45" s="123"/>
      <c r="C45" s="123">
        <v>3015</v>
      </c>
      <c r="D45" s="123">
        <v>15056</v>
      </c>
      <c r="E45" s="123">
        <v>27998</v>
      </c>
      <c r="F45" s="123"/>
      <c r="G45" s="123">
        <v>55793</v>
      </c>
      <c r="H45" s="123">
        <v>305</v>
      </c>
      <c r="I45" s="123"/>
      <c r="J45" s="123">
        <v>69</v>
      </c>
      <c r="K45" s="123">
        <v>22839</v>
      </c>
      <c r="L45" s="123">
        <v>3083</v>
      </c>
      <c r="M45" s="123"/>
      <c r="N45" s="123">
        <v>784</v>
      </c>
      <c r="O45" s="123">
        <v>17661</v>
      </c>
      <c r="P45" s="123">
        <v>146996</v>
      </c>
      <c r="Q45" s="18"/>
    </row>
    <row r="46" spans="1:17" ht="14.25" hidden="1">
      <c r="A46" s="18" t="s">
        <v>86</v>
      </c>
      <c r="B46" s="123"/>
      <c r="C46" s="123">
        <v>3014</v>
      </c>
      <c r="D46" s="123">
        <v>11161</v>
      </c>
      <c r="E46" s="123">
        <v>30280</v>
      </c>
      <c r="F46" s="123"/>
      <c r="G46" s="123">
        <v>57952</v>
      </c>
      <c r="H46" s="123">
        <v>1305</v>
      </c>
      <c r="I46" s="123"/>
      <c r="J46" s="123">
        <v>73</v>
      </c>
      <c r="K46" s="123">
        <v>23188</v>
      </c>
      <c r="L46" s="123">
        <v>3200</v>
      </c>
      <c r="M46" s="123"/>
      <c r="N46" s="123">
        <v>1511</v>
      </c>
      <c r="O46" s="123">
        <v>17699</v>
      </c>
      <c r="P46" s="123">
        <v>149720</v>
      </c>
      <c r="Q46" s="18" t="s">
        <v>86</v>
      </c>
    </row>
    <row r="47" spans="1:17" ht="14.25" hidden="1">
      <c r="A47" s="18" t="s">
        <v>31</v>
      </c>
      <c r="B47" s="123"/>
      <c r="C47" s="123">
        <v>3765</v>
      </c>
      <c r="D47" s="123">
        <v>7282</v>
      </c>
      <c r="E47" s="123">
        <v>28277</v>
      </c>
      <c r="F47" s="123"/>
      <c r="G47" s="123">
        <v>63227</v>
      </c>
      <c r="H47" s="123">
        <v>1100</v>
      </c>
      <c r="I47" s="123"/>
      <c r="J47" s="123">
        <v>147</v>
      </c>
      <c r="K47" s="123">
        <v>24435</v>
      </c>
      <c r="L47" s="123">
        <v>2983</v>
      </c>
      <c r="M47" s="123"/>
      <c r="N47" s="123">
        <v>1842</v>
      </c>
      <c r="O47" s="123">
        <v>19002</v>
      </c>
      <c r="P47" s="123">
        <v>152494</v>
      </c>
      <c r="Q47" s="18"/>
    </row>
    <row r="48" spans="1:17" ht="14.25" hidden="1">
      <c r="A48" s="18" t="s">
        <v>32</v>
      </c>
      <c r="B48" s="123"/>
      <c r="C48" s="123">
        <v>4496</v>
      </c>
      <c r="D48" s="123">
        <v>9851</v>
      </c>
      <c r="E48" s="123">
        <v>31189</v>
      </c>
      <c r="F48" s="123"/>
      <c r="G48" s="123">
        <v>64865</v>
      </c>
      <c r="H48" s="123">
        <v>1000</v>
      </c>
      <c r="I48" s="123"/>
      <c r="J48" s="123">
        <v>68</v>
      </c>
      <c r="K48" s="123">
        <v>24337</v>
      </c>
      <c r="L48" s="123">
        <v>1165</v>
      </c>
      <c r="M48" s="123"/>
      <c r="N48" s="123">
        <v>1309</v>
      </c>
      <c r="O48" s="123">
        <v>22918</v>
      </c>
      <c r="P48" s="123">
        <v>161602</v>
      </c>
      <c r="Q48" s="18"/>
    </row>
    <row r="49" spans="1:17" ht="14.25" hidden="1">
      <c r="A49" s="18" t="s">
        <v>87</v>
      </c>
      <c r="B49" s="123"/>
      <c r="C49" s="123">
        <v>3316</v>
      </c>
      <c r="D49" s="123">
        <v>12248</v>
      </c>
      <c r="E49" s="123">
        <v>31565</v>
      </c>
      <c r="F49" s="123"/>
      <c r="G49" s="123">
        <v>71188</v>
      </c>
      <c r="H49" s="123">
        <v>1500</v>
      </c>
      <c r="I49" s="123"/>
      <c r="J49" s="123">
        <v>0</v>
      </c>
      <c r="K49" s="123">
        <v>16168</v>
      </c>
      <c r="L49" s="123">
        <v>9237</v>
      </c>
      <c r="M49" s="123"/>
      <c r="N49" s="123">
        <v>987</v>
      </c>
      <c r="O49" s="123">
        <v>19094</v>
      </c>
      <c r="P49" s="123">
        <v>165311</v>
      </c>
      <c r="Q49" s="18" t="s">
        <v>87</v>
      </c>
    </row>
    <row r="50" spans="1:17" ht="14.25" hidden="1">
      <c r="A50" s="18" t="s">
        <v>35</v>
      </c>
      <c r="B50" s="123"/>
      <c r="C50" s="123">
        <v>3095</v>
      </c>
      <c r="D50" s="123">
        <v>8152</v>
      </c>
      <c r="E50" s="123">
        <v>32773</v>
      </c>
      <c r="F50" s="123"/>
      <c r="G50" s="123">
        <v>74713</v>
      </c>
      <c r="H50" s="123">
        <v>1500</v>
      </c>
      <c r="I50" s="123"/>
      <c r="J50" s="123">
        <v>64</v>
      </c>
      <c r="K50" s="123">
        <v>21978</v>
      </c>
      <c r="L50" s="123">
        <v>5098</v>
      </c>
      <c r="M50" s="123"/>
      <c r="N50" s="123">
        <v>1024</v>
      </c>
      <c r="O50" s="123">
        <v>19081</v>
      </c>
      <c r="P50" s="123">
        <v>167909</v>
      </c>
      <c r="Q50" s="18"/>
    </row>
    <row r="51" spans="1:17" ht="14.25" hidden="1">
      <c r="A51" s="18" t="s">
        <v>36</v>
      </c>
      <c r="B51" s="123"/>
      <c r="C51" s="123">
        <v>3811</v>
      </c>
      <c r="D51" s="123">
        <v>6516</v>
      </c>
      <c r="E51" s="123">
        <v>30832</v>
      </c>
      <c r="F51" s="123"/>
      <c r="G51" s="123">
        <v>75384</v>
      </c>
      <c r="H51" s="123">
        <v>1700</v>
      </c>
      <c r="I51" s="123"/>
      <c r="J51" s="123">
        <v>64</v>
      </c>
      <c r="K51" s="123">
        <v>24658</v>
      </c>
      <c r="L51" s="123">
        <v>2729</v>
      </c>
      <c r="M51" s="123"/>
      <c r="N51" s="123">
        <v>1111</v>
      </c>
      <c r="O51" s="123">
        <v>24923</v>
      </c>
      <c r="P51" s="123">
        <v>172183</v>
      </c>
      <c r="Q51" s="18"/>
    </row>
    <row r="52" spans="1:17" ht="14.25" hidden="1">
      <c r="A52" s="18" t="s">
        <v>88</v>
      </c>
      <c r="B52" s="123">
        <v>23229</v>
      </c>
      <c r="C52" s="123">
        <v>5036</v>
      </c>
      <c r="D52" s="123">
        <v>18193</v>
      </c>
      <c r="E52" s="123">
        <v>40852</v>
      </c>
      <c r="F52" s="123"/>
      <c r="G52" s="123">
        <v>70049</v>
      </c>
      <c r="H52" s="123">
        <v>1700</v>
      </c>
      <c r="I52" s="123"/>
      <c r="J52" s="123">
        <v>68</v>
      </c>
      <c r="K52" s="123">
        <v>24234</v>
      </c>
      <c r="L52" s="123">
        <v>2165</v>
      </c>
      <c r="M52" s="123"/>
      <c r="N52" s="123">
        <v>1198</v>
      </c>
      <c r="O52" s="123">
        <v>23464</v>
      </c>
      <c r="P52" s="123">
        <v>187420</v>
      </c>
      <c r="Q52" s="18" t="s">
        <v>88</v>
      </c>
    </row>
    <row r="53" ht="12.75" hidden="1"/>
    <row r="54" spans="1:17" ht="12.75" hidden="1">
      <c r="A54" s="43">
        <v>2001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43">
        <v>2001</v>
      </c>
    </row>
    <row r="55" spans="1:17" ht="12.75" hidden="1">
      <c r="A55" s="43" t="s">
        <v>25</v>
      </c>
      <c r="B55" s="123">
        <f aca="true" t="shared" si="13" ref="B55:B66">C55+D55</f>
        <v>20751</v>
      </c>
      <c r="C55" s="123">
        <v>5496</v>
      </c>
      <c r="D55" s="123">
        <v>15255</v>
      </c>
      <c r="E55" s="123">
        <v>44024</v>
      </c>
      <c r="F55" s="123">
        <f>G55+H55</f>
        <v>78257</v>
      </c>
      <c r="G55" s="123">
        <v>75534</v>
      </c>
      <c r="H55" s="123">
        <v>2723</v>
      </c>
      <c r="I55" s="123"/>
      <c r="J55" s="123">
        <v>234</v>
      </c>
      <c r="K55" s="123">
        <v>25086</v>
      </c>
      <c r="L55" s="123">
        <v>15570</v>
      </c>
      <c r="M55" s="123"/>
      <c r="N55" s="123">
        <v>1111</v>
      </c>
      <c r="O55" s="123">
        <v>51455</v>
      </c>
      <c r="P55" s="123">
        <v>237771</v>
      </c>
      <c r="Q55" s="43" t="s">
        <v>25</v>
      </c>
    </row>
    <row r="56" spans="1:17" ht="12.75" hidden="1">
      <c r="A56" s="43" t="s">
        <v>26</v>
      </c>
      <c r="B56" s="123">
        <f t="shared" si="13"/>
        <v>13263</v>
      </c>
      <c r="C56" s="123">
        <v>4721</v>
      </c>
      <c r="D56" s="123">
        <v>8542</v>
      </c>
      <c r="E56" s="123">
        <v>46985</v>
      </c>
      <c r="F56" s="123">
        <f>G56+H56</f>
        <v>89999</v>
      </c>
      <c r="G56" s="123">
        <v>86347</v>
      </c>
      <c r="H56" s="123">
        <v>3652</v>
      </c>
      <c r="I56" s="123"/>
      <c r="J56" s="123">
        <v>210</v>
      </c>
      <c r="K56" s="123">
        <v>25981</v>
      </c>
      <c r="L56" s="123">
        <v>14727</v>
      </c>
      <c r="M56" s="123"/>
      <c r="N56" s="123">
        <v>1353</v>
      </c>
      <c r="O56" s="123">
        <v>43322</v>
      </c>
      <c r="P56" s="123">
        <v>236034</v>
      </c>
      <c r="Q56" s="43" t="s">
        <v>26</v>
      </c>
    </row>
    <row r="57" spans="1:17" ht="14.25" hidden="1">
      <c r="A57" s="18" t="s">
        <v>114</v>
      </c>
      <c r="B57" s="123">
        <f t="shared" si="13"/>
        <v>12353</v>
      </c>
      <c r="C57" s="123">
        <v>4762</v>
      </c>
      <c r="D57" s="123">
        <v>7591</v>
      </c>
      <c r="E57" s="123">
        <v>46846</v>
      </c>
      <c r="F57" s="123">
        <v>95450</v>
      </c>
      <c r="G57" s="123">
        <v>90666</v>
      </c>
      <c r="H57" s="123">
        <v>4456</v>
      </c>
      <c r="I57" s="123"/>
      <c r="J57" s="123">
        <v>240</v>
      </c>
      <c r="K57" s="123">
        <v>26754</v>
      </c>
      <c r="L57" s="123">
        <v>10504</v>
      </c>
      <c r="M57" s="123"/>
      <c r="N57" s="123">
        <v>1768</v>
      </c>
      <c r="O57" s="123">
        <v>45367</v>
      </c>
      <c r="P57" s="123">
        <v>239283</v>
      </c>
      <c r="Q57" s="18" t="s">
        <v>114</v>
      </c>
    </row>
    <row r="58" spans="1:17" ht="14.25" hidden="1">
      <c r="A58" s="18" t="s">
        <v>28</v>
      </c>
      <c r="B58" s="123">
        <f t="shared" si="13"/>
        <v>25346</v>
      </c>
      <c r="C58" s="123">
        <v>7135</v>
      </c>
      <c r="D58" s="123">
        <v>18211</v>
      </c>
      <c r="E58" s="123">
        <v>43411</v>
      </c>
      <c r="F58" s="123">
        <f>G58+H58</f>
        <v>82131</v>
      </c>
      <c r="G58" s="123">
        <v>77675</v>
      </c>
      <c r="H58" s="123">
        <v>4456</v>
      </c>
      <c r="I58" s="123"/>
      <c r="J58" s="123">
        <v>129</v>
      </c>
      <c r="K58" s="123">
        <v>28487</v>
      </c>
      <c r="L58" s="123">
        <v>12963</v>
      </c>
      <c r="M58" s="123"/>
      <c r="N58" s="123">
        <v>1859</v>
      </c>
      <c r="O58" s="123">
        <v>45113</v>
      </c>
      <c r="P58" s="123">
        <v>239588</v>
      </c>
      <c r="Q58" s="18" t="s">
        <v>86</v>
      </c>
    </row>
    <row r="59" spans="1:17" ht="14.25" hidden="1">
      <c r="A59" s="18" t="s">
        <v>29</v>
      </c>
      <c r="B59" s="123">
        <f t="shared" si="13"/>
        <v>25014</v>
      </c>
      <c r="C59" s="123">
        <v>7170</v>
      </c>
      <c r="D59" s="123">
        <v>17844</v>
      </c>
      <c r="E59" s="123">
        <v>42221</v>
      </c>
      <c r="F59" s="123">
        <f>G59+H59</f>
        <v>79795</v>
      </c>
      <c r="G59" s="123">
        <v>74919</v>
      </c>
      <c r="H59" s="123">
        <v>4876</v>
      </c>
      <c r="I59" s="123"/>
      <c r="J59" s="123">
        <v>182</v>
      </c>
      <c r="K59" s="123">
        <v>28619</v>
      </c>
      <c r="L59" s="123">
        <v>14034</v>
      </c>
      <c r="M59" s="123"/>
      <c r="N59" s="123">
        <v>4185</v>
      </c>
      <c r="O59" s="123">
        <v>46368</v>
      </c>
      <c r="P59" s="123">
        <v>240593</v>
      </c>
      <c r="Q59" s="18" t="s">
        <v>86</v>
      </c>
    </row>
    <row r="60" spans="1:17" ht="14.25" hidden="1">
      <c r="A60" s="18" t="s">
        <v>86</v>
      </c>
      <c r="B60" s="123">
        <f t="shared" si="13"/>
        <v>12207</v>
      </c>
      <c r="C60" s="123">
        <v>4522</v>
      </c>
      <c r="D60" s="123">
        <v>7685</v>
      </c>
      <c r="E60" s="123">
        <v>46621</v>
      </c>
      <c r="F60" s="123">
        <v>92441</v>
      </c>
      <c r="G60" s="123">
        <v>85198</v>
      </c>
      <c r="H60" s="123">
        <v>6953</v>
      </c>
      <c r="I60" s="123"/>
      <c r="J60" s="123">
        <v>418</v>
      </c>
      <c r="K60" s="123">
        <v>26284</v>
      </c>
      <c r="L60" s="123">
        <v>19229</v>
      </c>
      <c r="M60" s="123"/>
      <c r="N60" s="123">
        <v>2240</v>
      </c>
      <c r="O60" s="123">
        <v>55167</v>
      </c>
      <c r="P60" s="123">
        <v>254606</v>
      </c>
      <c r="Q60" s="18" t="s">
        <v>86</v>
      </c>
    </row>
    <row r="61" spans="1:17" ht="14.25" hidden="1">
      <c r="A61" s="43" t="s">
        <v>31</v>
      </c>
      <c r="B61" s="123">
        <f t="shared" si="13"/>
        <v>13440</v>
      </c>
      <c r="C61" s="123">
        <v>6506</v>
      </c>
      <c r="D61" s="123">
        <v>6934</v>
      </c>
      <c r="E61" s="123">
        <v>51539</v>
      </c>
      <c r="F61" s="123">
        <f>G61+H61</f>
        <v>97271</v>
      </c>
      <c r="G61" s="123">
        <v>90168</v>
      </c>
      <c r="H61" s="123">
        <v>7103</v>
      </c>
      <c r="I61" s="123"/>
      <c r="J61" s="123">
        <v>287</v>
      </c>
      <c r="K61" s="123">
        <v>30986</v>
      </c>
      <c r="L61" s="123">
        <v>12964</v>
      </c>
      <c r="M61" s="123"/>
      <c r="N61" s="123">
        <v>2136</v>
      </c>
      <c r="O61" s="123">
        <v>56783</v>
      </c>
      <c r="P61" s="123">
        <v>265482</v>
      </c>
      <c r="Q61" s="18"/>
    </row>
    <row r="62" spans="1:17" ht="14.25" hidden="1">
      <c r="A62" s="43" t="s">
        <v>32</v>
      </c>
      <c r="B62" s="123">
        <f t="shared" si="13"/>
        <v>10144</v>
      </c>
      <c r="C62" s="123">
        <v>5586</v>
      </c>
      <c r="D62" s="123">
        <v>4558</v>
      </c>
      <c r="E62" s="123">
        <v>47581</v>
      </c>
      <c r="F62" s="123">
        <f>G62+H62</f>
        <v>110750</v>
      </c>
      <c r="G62" s="123">
        <v>102141</v>
      </c>
      <c r="H62" s="123">
        <v>8609</v>
      </c>
      <c r="I62" s="123"/>
      <c r="J62" s="123">
        <v>225</v>
      </c>
      <c r="K62" s="123">
        <v>30205</v>
      </c>
      <c r="L62" s="123">
        <v>13094</v>
      </c>
      <c r="M62" s="123"/>
      <c r="N62" s="123">
        <v>2793</v>
      </c>
      <c r="O62" s="123">
        <v>48063</v>
      </c>
      <c r="P62" s="123">
        <v>263451</v>
      </c>
      <c r="Q62" s="18"/>
    </row>
    <row r="63" spans="1:17" s="112" customFormat="1" ht="14.25" hidden="1">
      <c r="A63" s="18" t="s">
        <v>87</v>
      </c>
      <c r="B63" s="123">
        <f t="shared" si="13"/>
        <v>10546</v>
      </c>
      <c r="C63" s="105">
        <v>4435</v>
      </c>
      <c r="D63" s="105">
        <v>6111</v>
      </c>
      <c r="E63" s="105">
        <v>44586</v>
      </c>
      <c r="F63" s="123">
        <v>112376</v>
      </c>
      <c r="G63" s="105">
        <v>103661</v>
      </c>
      <c r="H63" s="105">
        <v>8109</v>
      </c>
      <c r="I63" s="105"/>
      <c r="J63" s="105">
        <v>349</v>
      </c>
      <c r="K63" s="105">
        <v>29707</v>
      </c>
      <c r="L63" s="105">
        <v>7603</v>
      </c>
      <c r="M63" s="105"/>
      <c r="N63" s="105">
        <v>2628</v>
      </c>
      <c r="O63" s="105">
        <v>49097</v>
      </c>
      <c r="P63" s="105">
        <v>256893</v>
      </c>
      <c r="Q63" s="18" t="s">
        <v>87</v>
      </c>
    </row>
    <row r="64" spans="1:17" ht="14.25" hidden="1">
      <c r="A64" s="6" t="s">
        <v>35</v>
      </c>
      <c r="B64" s="123">
        <f t="shared" si="13"/>
        <v>15677</v>
      </c>
      <c r="C64" s="124">
        <v>6907</v>
      </c>
      <c r="D64" s="124">
        <v>8770</v>
      </c>
      <c r="E64" s="124">
        <v>49050</v>
      </c>
      <c r="F64" s="123">
        <f>G64+H64</f>
        <v>111046</v>
      </c>
      <c r="G64" s="124">
        <v>102029</v>
      </c>
      <c r="H64" s="124">
        <v>9017</v>
      </c>
      <c r="I64" s="124"/>
      <c r="J64" s="124">
        <v>355</v>
      </c>
      <c r="K64" s="124">
        <v>31758</v>
      </c>
      <c r="L64" s="124">
        <v>5128</v>
      </c>
      <c r="M64" s="124"/>
      <c r="N64" s="124">
        <v>3154</v>
      </c>
      <c r="O64" s="124">
        <v>43486</v>
      </c>
      <c r="P64" s="124">
        <v>259864</v>
      </c>
      <c r="Q64" s="18"/>
    </row>
    <row r="65" spans="1:17" ht="14.25" hidden="1">
      <c r="A65" s="6" t="s">
        <v>36</v>
      </c>
      <c r="B65" s="123">
        <f t="shared" si="13"/>
        <v>14381</v>
      </c>
      <c r="C65" s="124">
        <v>5176</v>
      </c>
      <c r="D65" s="124">
        <v>9205</v>
      </c>
      <c r="E65" s="124">
        <v>58674</v>
      </c>
      <c r="F65" s="123">
        <f>G65+H65</f>
        <v>105280</v>
      </c>
      <c r="G65" s="124">
        <v>96271</v>
      </c>
      <c r="H65" s="124">
        <v>9009</v>
      </c>
      <c r="I65" s="124"/>
      <c r="J65" s="124">
        <v>478</v>
      </c>
      <c r="K65" s="124">
        <v>32087</v>
      </c>
      <c r="L65" s="124">
        <v>9862</v>
      </c>
      <c r="M65" s="124"/>
      <c r="N65" s="124">
        <v>3664</v>
      </c>
      <c r="O65" s="124">
        <v>49624</v>
      </c>
      <c r="P65" s="124">
        <v>274231</v>
      </c>
      <c r="Q65" s="18"/>
    </row>
    <row r="66" spans="1:17" ht="14.25" hidden="1">
      <c r="A66" s="18" t="s">
        <v>88</v>
      </c>
      <c r="B66" s="123">
        <f t="shared" si="13"/>
        <v>17047</v>
      </c>
      <c r="C66" s="124">
        <v>9785</v>
      </c>
      <c r="D66" s="124">
        <v>7262</v>
      </c>
      <c r="E66" s="124">
        <v>47295</v>
      </c>
      <c r="F66" s="123">
        <v>100748</v>
      </c>
      <c r="G66" s="124">
        <v>91200</v>
      </c>
      <c r="H66" s="124">
        <v>9356</v>
      </c>
      <c r="I66" s="124"/>
      <c r="J66" s="124">
        <v>486</v>
      </c>
      <c r="K66" s="124">
        <v>32973</v>
      </c>
      <c r="L66" s="124">
        <v>11649</v>
      </c>
      <c r="M66" s="124"/>
      <c r="N66" s="124">
        <v>5403</v>
      </c>
      <c r="O66" s="124">
        <v>51034</v>
      </c>
      <c r="P66" s="124">
        <v>266616</v>
      </c>
      <c r="Q66" s="18" t="s">
        <v>88</v>
      </c>
    </row>
    <row r="67" ht="12.75" hidden="1"/>
    <row r="68" ht="12.75" hidden="1"/>
    <row r="69" spans="1:17" ht="12.75" customHeight="1" hidden="1">
      <c r="A69" s="6">
        <v>2002</v>
      </c>
      <c r="B69" s="123"/>
      <c r="C69" s="124"/>
      <c r="D69" s="124"/>
      <c r="E69" s="124"/>
      <c r="F69" s="123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6">
        <v>2007</v>
      </c>
    </row>
    <row r="70" spans="1:17" ht="12.75" customHeight="1" hidden="1">
      <c r="A70" s="43" t="s">
        <v>25</v>
      </c>
      <c r="B70" s="123">
        <f aca="true" t="shared" si="14" ref="B70:B81">C70+D70</f>
        <v>16083</v>
      </c>
      <c r="C70" s="124">
        <v>7944</v>
      </c>
      <c r="D70" s="124">
        <v>8139</v>
      </c>
      <c r="E70" s="124">
        <v>52217</v>
      </c>
      <c r="F70" s="123">
        <f>G70+H70</f>
        <v>104010</v>
      </c>
      <c r="G70" s="124">
        <v>93613</v>
      </c>
      <c r="H70" s="124">
        <v>10397</v>
      </c>
      <c r="I70" s="124"/>
      <c r="J70" s="124">
        <v>260</v>
      </c>
      <c r="K70" s="124">
        <v>34831</v>
      </c>
      <c r="L70" s="124">
        <v>11427</v>
      </c>
      <c r="M70" s="124"/>
      <c r="N70" s="124">
        <v>2534</v>
      </c>
      <c r="O70" s="124">
        <v>42548</v>
      </c>
      <c r="P70" s="124">
        <v>264261</v>
      </c>
      <c r="Q70" s="6">
        <v>2007</v>
      </c>
    </row>
    <row r="71" spans="1:17" ht="12.75" customHeight="1" hidden="1">
      <c r="A71" s="43" t="s">
        <v>26</v>
      </c>
      <c r="B71" s="123">
        <f t="shared" si="14"/>
        <v>19055</v>
      </c>
      <c r="C71" s="124">
        <v>7255</v>
      </c>
      <c r="D71" s="124">
        <v>11800</v>
      </c>
      <c r="E71" s="124">
        <v>60297</v>
      </c>
      <c r="F71" s="123">
        <f>G71+H71</f>
        <v>111173</v>
      </c>
      <c r="G71" s="124">
        <v>99317</v>
      </c>
      <c r="H71" s="124">
        <v>11856</v>
      </c>
      <c r="I71" s="124"/>
      <c r="J71" s="124">
        <v>315</v>
      </c>
      <c r="K71" s="124">
        <v>36319</v>
      </c>
      <c r="L71" s="124">
        <v>8361</v>
      </c>
      <c r="M71" s="124"/>
      <c r="N71" s="124">
        <v>3357</v>
      </c>
      <c r="O71" s="124">
        <v>44070</v>
      </c>
      <c r="P71" s="124">
        <v>283199</v>
      </c>
      <c r="Q71" s="6">
        <v>2007</v>
      </c>
    </row>
    <row r="72" spans="1:17" ht="12.75" customHeight="1" hidden="1">
      <c r="A72" s="18" t="s">
        <v>114</v>
      </c>
      <c r="B72" s="123">
        <f t="shared" si="14"/>
        <v>15539</v>
      </c>
      <c r="C72" s="124">
        <v>6550</v>
      </c>
      <c r="D72" s="124">
        <v>8989</v>
      </c>
      <c r="E72" s="124">
        <v>64268</v>
      </c>
      <c r="F72" s="123">
        <v>103365</v>
      </c>
      <c r="G72" s="124">
        <v>91550</v>
      </c>
      <c r="H72" s="124">
        <v>11557</v>
      </c>
      <c r="I72" s="124"/>
      <c r="J72" s="124">
        <v>412</v>
      </c>
      <c r="K72" s="124">
        <v>40725</v>
      </c>
      <c r="L72" s="124">
        <v>7017</v>
      </c>
      <c r="M72" s="124"/>
      <c r="N72" s="124">
        <v>3835</v>
      </c>
      <c r="O72" s="124">
        <v>52639</v>
      </c>
      <c r="P72" s="124">
        <v>287799</v>
      </c>
      <c r="Q72" s="6">
        <v>2007</v>
      </c>
    </row>
    <row r="73" spans="1:17" ht="12.75" customHeight="1" hidden="1">
      <c r="A73" s="18" t="s">
        <v>28</v>
      </c>
      <c r="B73" s="123">
        <f t="shared" si="14"/>
        <v>13025</v>
      </c>
      <c r="C73" s="100">
        <v>6548</v>
      </c>
      <c r="D73" s="100">
        <v>6477</v>
      </c>
      <c r="E73" s="100">
        <v>58217</v>
      </c>
      <c r="F73" s="123">
        <f>G73+H73</f>
        <v>90065.663</v>
      </c>
      <c r="G73" s="100">
        <v>90053</v>
      </c>
      <c r="H73" s="109">
        <v>12.663</v>
      </c>
      <c r="I73" s="100"/>
      <c r="J73" s="109">
        <v>495</v>
      </c>
      <c r="K73" s="100">
        <v>40406</v>
      </c>
      <c r="L73" s="100">
        <v>10707</v>
      </c>
      <c r="M73" s="100"/>
      <c r="N73" s="100">
        <v>2369</v>
      </c>
      <c r="O73" s="100">
        <v>49885</v>
      </c>
      <c r="P73" s="100">
        <v>278142</v>
      </c>
      <c r="Q73" s="6">
        <v>2007</v>
      </c>
    </row>
    <row r="74" spans="1:17" ht="12.75" customHeight="1" hidden="1">
      <c r="A74" s="18" t="s">
        <v>29</v>
      </c>
      <c r="B74" s="123">
        <f t="shared" si="14"/>
        <v>15064</v>
      </c>
      <c r="C74" s="100">
        <v>6741</v>
      </c>
      <c r="D74" s="100">
        <v>8323</v>
      </c>
      <c r="E74" s="100">
        <v>53513</v>
      </c>
      <c r="F74" s="123">
        <f>G74+H74</f>
        <v>106726</v>
      </c>
      <c r="G74" s="100">
        <v>92477</v>
      </c>
      <c r="H74" s="100">
        <v>14249</v>
      </c>
      <c r="I74" s="100"/>
      <c r="J74" s="109">
        <v>505</v>
      </c>
      <c r="K74" s="100">
        <v>37200</v>
      </c>
      <c r="L74" s="100">
        <v>11605</v>
      </c>
      <c r="M74" s="100"/>
      <c r="N74" s="100">
        <v>3562</v>
      </c>
      <c r="O74" s="100">
        <v>48952</v>
      </c>
      <c r="P74" s="100">
        <v>277448</v>
      </c>
      <c r="Q74" s="6">
        <v>2007</v>
      </c>
    </row>
    <row r="75" spans="1:17" ht="12.75" customHeight="1" hidden="1">
      <c r="A75" s="18" t="s">
        <v>86</v>
      </c>
      <c r="B75" s="123">
        <f t="shared" si="14"/>
        <v>11070</v>
      </c>
      <c r="C75" s="100">
        <v>6857</v>
      </c>
      <c r="D75" s="100">
        <v>4213</v>
      </c>
      <c r="E75" s="100">
        <v>52402</v>
      </c>
      <c r="F75" s="123">
        <v>115729</v>
      </c>
      <c r="G75" s="100">
        <v>99476</v>
      </c>
      <c r="H75" s="100">
        <v>15076</v>
      </c>
      <c r="I75" s="100"/>
      <c r="J75" s="109">
        <v>87</v>
      </c>
      <c r="K75" s="100">
        <v>37103</v>
      </c>
      <c r="L75" s="100">
        <v>10644</v>
      </c>
      <c r="M75" s="100"/>
      <c r="N75" s="100">
        <v>3604</v>
      </c>
      <c r="O75" s="100">
        <v>52806</v>
      </c>
      <c r="P75" s="100">
        <v>283446</v>
      </c>
      <c r="Q75" s="6">
        <v>2007</v>
      </c>
    </row>
    <row r="76" spans="1:17" ht="12.75" customHeight="1" hidden="1">
      <c r="A76" s="43" t="s">
        <v>31</v>
      </c>
      <c r="B76" s="123">
        <f t="shared" si="14"/>
        <v>14975</v>
      </c>
      <c r="C76" s="100">
        <v>7126</v>
      </c>
      <c r="D76" s="100">
        <v>7849</v>
      </c>
      <c r="E76" s="100">
        <v>59684</v>
      </c>
      <c r="F76" s="123">
        <f>G76+H76</f>
        <v>114245</v>
      </c>
      <c r="G76" s="100">
        <v>100626</v>
      </c>
      <c r="H76" s="100">
        <v>13619</v>
      </c>
      <c r="I76" s="100"/>
      <c r="J76" s="109">
        <v>699</v>
      </c>
      <c r="K76" s="100">
        <v>38605</v>
      </c>
      <c r="L76" s="100">
        <v>10330</v>
      </c>
      <c r="M76" s="100"/>
      <c r="N76" s="100">
        <v>2385</v>
      </c>
      <c r="O76" s="100">
        <v>55004</v>
      </c>
      <c r="P76" s="100">
        <v>296124</v>
      </c>
      <c r="Q76" s="6">
        <v>2007</v>
      </c>
    </row>
    <row r="77" spans="1:17" ht="12.75" customHeight="1" hidden="1">
      <c r="A77" s="43" t="s">
        <v>32</v>
      </c>
      <c r="B77" s="123">
        <f t="shared" si="14"/>
        <v>12548</v>
      </c>
      <c r="C77" s="100">
        <v>5699</v>
      </c>
      <c r="D77" s="100">
        <v>6849</v>
      </c>
      <c r="E77" s="100">
        <v>51429</v>
      </c>
      <c r="F77" s="123">
        <f>G77+H77</f>
        <v>122326</v>
      </c>
      <c r="G77" s="100">
        <v>108429</v>
      </c>
      <c r="H77" s="100">
        <v>13897</v>
      </c>
      <c r="I77" s="100"/>
      <c r="J77" s="109">
        <v>741</v>
      </c>
      <c r="K77" s="100">
        <v>42169</v>
      </c>
      <c r="L77" s="100">
        <v>12109</v>
      </c>
      <c r="M77" s="100"/>
      <c r="N77" s="100">
        <v>3107</v>
      </c>
      <c r="O77" s="100">
        <v>52056</v>
      </c>
      <c r="P77" s="100">
        <v>296696</v>
      </c>
      <c r="Q77" s="6">
        <v>2007</v>
      </c>
    </row>
    <row r="78" spans="1:17" ht="12.75" customHeight="1" hidden="1">
      <c r="A78" s="18" t="s">
        <v>87</v>
      </c>
      <c r="B78" s="123">
        <f t="shared" si="14"/>
        <v>14932</v>
      </c>
      <c r="C78" s="100">
        <v>7914</v>
      </c>
      <c r="D78" s="100">
        <v>7018</v>
      </c>
      <c r="E78" s="100">
        <v>57872</v>
      </c>
      <c r="F78" s="123">
        <v>120963</v>
      </c>
      <c r="G78" s="100">
        <v>106373</v>
      </c>
      <c r="H78" s="100">
        <v>14391</v>
      </c>
      <c r="I78" s="100"/>
      <c r="J78" s="109">
        <v>817</v>
      </c>
      <c r="K78" s="100">
        <v>42891</v>
      </c>
      <c r="L78" s="100">
        <v>8325</v>
      </c>
      <c r="M78" s="100"/>
      <c r="N78" s="100">
        <v>2500</v>
      </c>
      <c r="O78" s="100">
        <v>55650</v>
      </c>
      <c r="P78" s="100">
        <v>303950</v>
      </c>
      <c r="Q78" s="6">
        <v>2007</v>
      </c>
    </row>
    <row r="79" spans="1:17" ht="12.75" customHeight="1" hidden="1">
      <c r="A79" s="6" t="s">
        <v>35</v>
      </c>
      <c r="B79" s="123">
        <f t="shared" si="14"/>
        <v>18707</v>
      </c>
      <c r="C79" s="100">
        <v>6764</v>
      </c>
      <c r="D79" s="100">
        <v>11943</v>
      </c>
      <c r="E79" s="100">
        <v>59968</v>
      </c>
      <c r="F79" s="123">
        <f>G79+H79</f>
        <v>122488</v>
      </c>
      <c r="G79" s="100">
        <v>107699</v>
      </c>
      <c r="H79" s="100">
        <v>14789</v>
      </c>
      <c r="I79" s="100"/>
      <c r="J79" s="109">
        <v>775</v>
      </c>
      <c r="K79" s="100">
        <v>47339</v>
      </c>
      <c r="L79" s="100">
        <v>12308</v>
      </c>
      <c r="M79" s="100"/>
      <c r="N79" s="100">
        <v>1591</v>
      </c>
      <c r="O79" s="100">
        <v>55032</v>
      </c>
      <c r="P79" s="100">
        <v>318354</v>
      </c>
      <c r="Q79" s="6">
        <v>2007</v>
      </c>
    </row>
    <row r="80" spans="1:17" ht="12.75" customHeight="1" hidden="1">
      <c r="A80" s="6" t="s">
        <v>36</v>
      </c>
      <c r="B80" s="123">
        <f t="shared" si="14"/>
        <v>19246</v>
      </c>
      <c r="C80" s="103">
        <v>4580</v>
      </c>
      <c r="D80" s="103">
        <v>14666</v>
      </c>
      <c r="E80" s="103">
        <v>58921</v>
      </c>
      <c r="F80" s="123">
        <f>G80+H80</f>
        <v>131725</v>
      </c>
      <c r="G80" s="103">
        <v>116929</v>
      </c>
      <c r="H80" s="103">
        <v>14796</v>
      </c>
      <c r="I80" s="103"/>
      <c r="J80" s="111">
        <v>681</v>
      </c>
      <c r="K80" s="103">
        <v>46663</v>
      </c>
      <c r="L80" s="103">
        <v>16782</v>
      </c>
      <c r="M80" s="103"/>
      <c r="N80" s="103">
        <v>3529</v>
      </c>
      <c r="O80" s="103">
        <v>67009</v>
      </c>
      <c r="P80" s="103">
        <v>344703</v>
      </c>
      <c r="Q80" s="6">
        <v>2007</v>
      </c>
    </row>
    <row r="81" spans="1:17" s="112" customFormat="1" ht="12.75" customHeight="1" hidden="1">
      <c r="A81" s="18" t="s">
        <v>88</v>
      </c>
      <c r="B81" s="123">
        <f t="shared" si="14"/>
        <v>21696</v>
      </c>
      <c r="C81" s="103">
        <v>10579</v>
      </c>
      <c r="D81" s="103">
        <v>11117</v>
      </c>
      <c r="E81" s="103">
        <v>58383</v>
      </c>
      <c r="F81" s="123">
        <v>130035</v>
      </c>
      <c r="G81" s="103">
        <v>115165</v>
      </c>
      <c r="H81" s="103">
        <v>14776</v>
      </c>
      <c r="I81" s="103"/>
      <c r="J81" s="111">
        <v>950</v>
      </c>
      <c r="K81" s="103">
        <v>50559</v>
      </c>
      <c r="L81" s="103">
        <v>16732</v>
      </c>
      <c r="M81" s="103"/>
      <c r="N81" s="103">
        <v>4760</v>
      </c>
      <c r="O81" s="103">
        <v>73662</v>
      </c>
      <c r="P81" s="103">
        <v>356777</v>
      </c>
      <c r="Q81" s="6">
        <v>2007</v>
      </c>
    </row>
    <row r="82" spans="1:17" ht="12.75" customHeight="1" hidden="1">
      <c r="A82" s="6"/>
      <c r="B82" s="123"/>
      <c r="C82" s="103"/>
      <c r="D82" s="103"/>
      <c r="E82" s="103"/>
      <c r="F82" s="123"/>
      <c r="G82" s="103"/>
      <c r="H82" s="103"/>
      <c r="I82" s="103"/>
      <c r="J82" s="111"/>
      <c r="K82" s="103"/>
      <c r="L82" s="103"/>
      <c r="M82" s="103"/>
      <c r="N82" s="103"/>
      <c r="O82" s="103"/>
      <c r="P82" s="103"/>
      <c r="Q82" s="6"/>
    </row>
    <row r="83" spans="1:17" ht="12.75" customHeight="1" hidden="1">
      <c r="A83" s="6">
        <v>2003</v>
      </c>
      <c r="B83" s="123"/>
      <c r="C83" s="103"/>
      <c r="D83" s="103"/>
      <c r="E83" s="103"/>
      <c r="F83" s="123"/>
      <c r="G83" s="103"/>
      <c r="H83" s="103"/>
      <c r="I83" s="103"/>
      <c r="J83" s="111"/>
      <c r="K83" s="103"/>
      <c r="L83" s="103"/>
      <c r="M83" s="103"/>
      <c r="N83" s="103"/>
      <c r="O83" s="103"/>
      <c r="P83" s="103"/>
      <c r="Q83" s="6">
        <v>2007</v>
      </c>
    </row>
    <row r="84" spans="1:17" s="127" customFormat="1" ht="12.75" customHeight="1" hidden="1">
      <c r="A84" s="43" t="s">
        <v>25</v>
      </c>
      <c r="B84" s="123">
        <f aca="true" t="shared" si="15" ref="B84:B107">C84+D84</f>
        <v>17794</v>
      </c>
      <c r="C84" s="105">
        <v>6878</v>
      </c>
      <c r="D84" s="105">
        <v>10916</v>
      </c>
      <c r="E84" s="105">
        <v>58757</v>
      </c>
      <c r="F84" s="123">
        <v>136833</v>
      </c>
      <c r="G84" s="105">
        <v>122196</v>
      </c>
      <c r="H84" s="105">
        <v>14504</v>
      </c>
      <c r="I84" s="105"/>
      <c r="J84" s="105">
        <v>1586</v>
      </c>
      <c r="K84" s="105">
        <v>52053</v>
      </c>
      <c r="L84" s="105">
        <v>14389</v>
      </c>
      <c r="M84" s="105"/>
      <c r="N84" s="105">
        <v>1963</v>
      </c>
      <c r="O84" s="105">
        <v>63893</v>
      </c>
      <c r="P84" s="105">
        <v>347269</v>
      </c>
      <c r="Q84" s="6">
        <v>2007</v>
      </c>
    </row>
    <row r="85" spans="1:17" s="127" customFormat="1" ht="12.75" customHeight="1" hidden="1">
      <c r="A85" s="43" t="s">
        <v>26</v>
      </c>
      <c r="B85" s="123">
        <f t="shared" si="15"/>
        <v>18257</v>
      </c>
      <c r="C85" s="105">
        <v>5303</v>
      </c>
      <c r="D85" s="105">
        <v>12954</v>
      </c>
      <c r="E85" s="105">
        <v>65571</v>
      </c>
      <c r="F85" s="123">
        <v>129539</v>
      </c>
      <c r="G85" s="105">
        <v>116280</v>
      </c>
      <c r="H85" s="105">
        <v>13017</v>
      </c>
      <c r="I85" s="105"/>
      <c r="J85" s="105">
        <v>1617</v>
      </c>
      <c r="K85" s="105">
        <v>56484</v>
      </c>
      <c r="L85" s="105">
        <v>16615</v>
      </c>
      <c r="M85" s="105"/>
      <c r="N85" s="105">
        <v>4084</v>
      </c>
      <c r="O85" s="105">
        <v>71657</v>
      </c>
      <c r="P85" s="105">
        <v>363824</v>
      </c>
      <c r="Q85" s="6">
        <v>2007</v>
      </c>
    </row>
    <row r="86" spans="1:17" s="127" customFormat="1" ht="12.75" customHeight="1" hidden="1">
      <c r="A86" s="18" t="s">
        <v>114</v>
      </c>
      <c r="B86" s="123">
        <f t="shared" si="15"/>
        <v>12817.810000000001</v>
      </c>
      <c r="C86" s="105">
        <v>7702.67</v>
      </c>
      <c r="D86" s="105">
        <v>5115.14</v>
      </c>
      <c r="E86" s="123">
        <v>62738</v>
      </c>
      <c r="F86" s="123">
        <v>136893</v>
      </c>
      <c r="G86" s="105">
        <v>123327.08</v>
      </c>
      <c r="H86" s="105">
        <v>13280.91</v>
      </c>
      <c r="I86" s="105"/>
      <c r="J86" s="105">
        <v>1418.3</v>
      </c>
      <c r="K86" s="105">
        <v>61494.56</v>
      </c>
      <c r="L86" s="105">
        <v>11902.32</v>
      </c>
      <c r="M86" s="105"/>
      <c r="N86" s="105">
        <v>4762.57</v>
      </c>
      <c r="O86" s="105">
        <v>66136.66</v>
      </c>
      <c r="P86" s="105">
        <v>358163.29</v>
      </c>
      <c r="Q86" s="6">
        <v>2007</v>
      </c>
    </row>
    <row r="87" spans="1:17" s="127" customFormat="1" ht="12.75" customHeight="1" hidden="1">
      <c r="A87" s="18" t="s">
        <v>28</v>
      </c>
      <c r="B87" s="123">
        <f t="shared" si="15"/>
        <v>19689.43</v>
      </c>
      <c r="C87" s="105">
        <v>10512.38</v>
      </c>
      <c r="D87" s="105">
        <v>9177.05</v>
      </c>
      <c r="E87" s="123">
        <v>70563</v>
      </c>
      <c r="F87" s="123">
        <v>129776</v>
      </c>
      <c r="G87" s="105">
        <v>116270.47</v>
      </c>
      <c r="H87" s="105">
        <v>13210.15</v>
      </c>
      <c r="I87" s="105"/>
      <c r="J87" s="105">
        <v>1470.52</v>
      </c>
      <c r="K87" s="105">
        <v>60150.93</v>
      </c>
      <c r="L87" s="105">
        <v>15997.04</v>
      </c>
      <c r="M87" s="105"/>
      <c r="N87" s="105">
        <v>3734.33</v>
      </c>
      <c r="O87" s="105">
        <v>61026.69</v>
      </c>
      <c r="P87" s="105">
        <v>362408.37</v>
      </c>
      <c r="Q87" s="6">
        <v>2007</v>
      </c>
    </row>
    <row r="88" spans="1:17" s="127" customFormat="1" ht="12.75" customHeight="1" hidden="1">
      <c r="A88" s="18" t="s">
        <v>29</v>
      </c>
      <c r="B88" s="123">
        <f t="shared" si="15"/>
        <v>13035.18</v>
      </c>
      <c r="C88" s="105">
        <v>6177.5</v>
      </c>
      <c r="D88" s="105">
        <v>6857.68</v>
      </c>
      <c r="E88" s="123">
        <v>63854</v>
      </c>
      <c r="F88" s="123">
        <v>136344</v>
      </c>
      <c r="G88" s="105">
        <v>124735.45</v>
      </c>
      <c r="H88" s="105">
        <v>11217.9</v>
      </c>
      <c r="I88" s="105"/>
      <c r="J88" s="105">
        <v>2160.81</v>
      </c>
      <c r="K88" s="105">
        <v>58869.41</v>
      </c>
      <c r="L88" s="105">
        <v>14678.03</v>
      </c>
      <c r="M88" s="105"/>
      <c r="N88" s="105">
        <v>4666.34</v>
      </c>
      <c r="O88" s="105">
        <v>60762.55</v>
      </c>
      <c r="P88" s="105">
        <v>354371.28</v>
      </c>
      <c r="Q88" s="6">
        <v>2007</v>
      </c>
    </row>
    <row r="89" spans="1:17" s="127" customFormat="1" ht="12.75" customHeight="1" hidden="1">
      <c r="A89" s="18" t="s">
        <v>86</v>
      </c>
      <c r="B89" s="123">
        <f t="shared" si="15"/>
        <v>13119.27</v>
      </c>
      <c r="C89" s="105">
        <v>9671.9</v>
      </c>
      <c r="D89" s="105">
        <v>3447.37</v>
      </c>
      <c r="E89" s="123">
        <v>76613</v>
      </c>
      <c r="F89" s="123">
        <v>131846</v>
      </c>
      <c r="G89" s="105">
        <v>122475.02</v>
      </c>
      <c r="H89" s="105">
        <v>9065.63</v>
      </c>
      <c r="I89" s="105"/>
      <c r="J89" s="105">
        <v>2741.24</v>
      </c>
      <c r="K89" s="105">
        <v>59737.49</v>
      </c>
      <c r="L89" s="105">
        <v>11524.24</v>
      </c>
      <c r="M89" s="105"/>
      <c r="N89" s="105">
        <v>4246.47</v>
      </c>
      <c r="O89" s="105">
        <v>63731.43</v>
      </c>
      <c r="P89" s="105">
        <v>363558.41</v>
      </c>
      <c r="Q89" s="6">
        <v>2007</v>
      </c>
    </row>
    <row r="90" spans="1:17" s="127" customFormat="1" ht="12.75" customHeight="1" hidden="1">
      <c r="A90" s="43" t="s">
        <v>31</v>
      </c>
      <c r="B90" s="123">
        <f t="shared" si="15"/>
        <v>30670</v>
      </c>
      <c r="C90" s="105">
        <v>8246</v>
      </c>
      <c r="D90" s="105">
        <v>22424</v>
      </c>
      <c r="E90" s="105">
        <v>67103</v>
      </c>
      <c r="F90" s="123">
        <v>127145</v>
      </c>
      <c r="G90" s="105">
        <v>118967</v>
      </c>
      <c r="H90" s="105">
        <v>7872</v>
      </c>
      <c r="I90" s="105"/>
      <c r="J90" s="105">
        <v>2523</v>
      </c>
      <c r="K90" s="105">
        <v>67057</v>
      </c>
      <c r="L90" s="105">
        <v>13405</v>
      </c>
      <c r="M90" s="105"/>
      <c r="N90" s="105">
        <v>3855</v>
      </c>
      <c r="O90" s="105">
        <v>63467</v>
      </c>
      <c r="P90" s="105">
        <v>375224</v>
      </c>
      <c r="Q90" s="6">
        <v>2007</v>
      </c>
    </row>
    <row r="91" spans="1:17" s="127" customFormat="1" ht="12.75" customHeight="1" hidden="1">
      <c r="A91" s="43" t="s">
        <v>32</v>
      </c>
      <c r="B91" s="123">
        <f t="shared" si="15"/>
        <v>23594</v>
      </c>
      <c r="C91" s="105">
        <v>8580</v>
      </c>
      <c r="D91" s="105">
        <v>15014</v>
      </c>
      <c r="E91" s="105">
        <v>73812</v>
      </c>
      <c r="F91" s="123">
        <v>148988</v>
      </c>
      <c r="G91" s="105">
        <v>138500</v>
      </c>
      <c r="H91" s="105">
        <v>10189</v>
      </c>
      <c r="I91" s="105"/>
      <c r="J91" s="105">
        <v>2664</v>
      </c>
      <c r="K91" s="105">
        <v>64736</v>
      </c>
      <c r="L91" s="105">
        <v>13883</v>
      </c>
      <c r="M91" s="105"/>
      <c r="N91" s="105">
        <v>5991</v>
      </c>
      <c r="O91" s="105">
        <v>60486</v>
      </c>
      <c r="P91" s="105">
        <v>394153</v>
      </c>
      <c r="Q91" s="6">
        <v>2007</v>
      </c>
    </row>
    <row r="92" spans="1:17" s="127" customFormat="1" ht="12.75" customHeight="1" hidden="1">
      <c r="A92" s="18" t="s">
        <v>87</v>
      </c>
      <c r="B92" s="123">
        <f t="shared" si="15"/>
        <v>15946</v>
      </c>
      <c r="C92" s="105">
        <v>10296</v>
      </c>
      <c r="D92" s="105">
        <v>5650</v>
      </c>
      <c r="E92" s="105">
        <v>75106</v>
      </c>
      <c r="F92" s="123">
        <v>139187</v>
      </c>
      <c r="G92" s="105">
        <v>127570</v>
      </c>
      <c r="H92" s="105">
        <v>11316</v>
      </c>
      <c r="I92" s="105"/>
      <c r="J92" s="105">
        <v>2851</v>
      </c>
      <c r="K92" s="105">
        <v>69415</v>
      </c>
      <c r="L92" s="105">
        <v>10068</v>
      </c>
      <c r="M92" s="105"/>
      <c r="N92" s="105">
        <v>4624</v>
      </c>
      <c r="O92" s="105">
        <v>68944</v>
      </c>
      <c r="P92" s="105">
        <v>386140</v>
      </c>
      <c r="Q92" s="6">
        <v>2007</v>
      </c>
    </row>
    <row r="93" spans="1:17" s="127" customFormat="1" ht="12.75" customHeight="1" hidden="1">
      <c r="A93" s="6" t="s">
        <v>35</v>
      </c>
      <c r="B93" s="123">
        <f t="shared" si="15"/>
        <v>14548</v>
      </c>
      <c r="C93" s="105">
        <v>8284</v>
      </c>
      <c r="D93" s="105">
        <v>6264</v>
      </c>
      <c r="E93" s="105">
        <v>82034</v>
      </c>
      <c r="F93" s="123">
        <v>141906</v>
      </c>
      <c r="G93" s="105">
        <v>130767</v>
      </c>
      <c r="H93" s="105">
        <v>10831</v>
      </c>
      <c r="I93" s="105"/>
      <c r="J93" s="105">
        <v>3775</v>
      </c>
      <c r="K93" s="105">
        <v>74083</v>
      </c>
      <c r="L93" s="105">
        <v>17916</v>
      </c>
      <c r="M93" s="105"/>
      <c r="N93" s="105">
        <v>5099</v>
      </c>
      <c r="O93" s="105">
        <v>66490</v>
      </c>
      <c r="P93" s="105">
        <v>405851</v>
      </c>
      <c r="Q93" s="6">
        <v>2007</v>
      </c>
    </row>
    <row r="94" spans="1:17" s="127" customFormat="1" ht="12.75" customHeight="1" hidden="1">
      <c r="A94" s="6" t="s">
        <v>36</v>
      </c>
      <c r="B94" s="123">
        <f t="shared" si="15"/>
        <v>19366</v>
      </c>
      <c r="C94" s="105">
        <v>9352</v>
      </c>
      <c r="D94" s="105">
        <v>10014</v>
      </c>
      <c r="E94" s="105">
        <v>80183</v>
      </c>
      <c r="F94" s="123">
        <v>142806</v>
      </c>
      <c r="G94" s="105">
        <v>128493</v>
      </c>
      <c r="H94" s="105">
        <v>13948</v>
      </c>
      <c r="I94" s="105"/>
      <c r="J94" s="105">
        <v>3929</v>
      </c>
      <c r="K94" s="105">
        <v>80711</v>
      </c>
      <c r="L94" s="105">
        <v>14933</v>
      </c>
      <c r="M94" s="105"/>
      <c r="N94" s="105">
        <v>5401</v>
      </c>
      <c r="O94" s="105">
        <v>64232</v>
      </c>
      <c r="P94" s="105">
        <v>411563</v>
      </c>
      <c r="Q94" s="6">
        <v>2007</v>
      </c>
    </row>
    <row r="95" spans="1:17" s="106" customFormat="1" ht="12.75" customHeight="1" hidden="1">
      <c r="A95" s="18" t="s">
        <v>88</v>
      </c>
      <c r="B95" s="123">
        <f t="shared" si="15"/>
        <v>20099</v>
      </c>
      <c r="C95" s="105">
        <v>11140</v>
      </c>
      <c r="D95" s="105">
        <v>8959</v>
      </c>
      <c r="E95" s="105">
        <v>78839</v>
      </c>
      <c r="F95" s="123">
        <v>121829</v>
      </c>
      <c r="G95" s="105">
        <v>107492</v>
      </c>
      <c r="H95" s="105">
        <v>13963</v>
      </c>
      <c r="I95" s="105"/>
      <c r="J95" s="105">
        <v>3647</v>
      </c>
      <c r="K95" s="105">
        <v>91406</v>
      </c>
      <c r="L95" s="105">
        <v>14397</v>
      </c>
      <c r="M95" s="105"/>
      <c r="N95" s="105">
        <v>8232</v>
      </c>
      <c r="O95" s="105">
        <v>61329</v>
      </c>
      <c r="P95" s="105">
        <v>399778</v>
      </c>
      <c r="Q95" s="6">
        <v>2007</v>
      </c>
    </row>
    <row r="96" spans="1:17" s="106" customFormat="1" ht="12.75" customHeight="1" hidden="1">
      <c r="A96" s="44"/>
      <c r="B96" s="123"/>
      <c r="F96" s="123"/>
      <c r="Q96" s="44"/>
    </row>
    <row r="97" spans="1:17" s="127" customFormat="1" ht="12.75" customHeight="1" hidden="1">
      <c r="A97" s="65">
        <v>2004</v>
      </c>
      <c r="B97" s="123"/>
      <c r="C97" s="105"/>
      <c r="D97" s="105"/>
      <c r="E97" s="105"/>
      <c r="F97" s="123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6">
        <v>2004</v>
      </c>
    </row>
    <row r="98" spans="1:17" s="127" customFormat="1" ht="12.75" customHeight="1" hidden="1">
      <c r="A98" s="47" t="s">
        <v>25</v>
      </c>
      <c r="B98" s="123">
        <f t="shared" si="15"/>
        <v>15133</v>
      </c>
      <c r="C98" s="105">
        <v>9517</v>
      </c>
      <c r="D98" s="105">
        <v>5616</v>
      </c>
      <c r="E98" s="105">
        <v>83631</v>
      </c>
      <c r="F98" s="123">
        <v>133548</v>
      </c>
      <c r="G98" s="105">
        <v>120989</v>
      </c>
      <c r="H98" s="105">
        <v>12283</v>
      </c>
      <c r="I98" s="105"/>
      <c r="J98" s="105">
        <v>4578</v>
      </c>
      <c r="K98" s="105">
        <v>85506</v>
      </c>
      <c r="L98" s="105">
        <v>19824</v>
      </c>
      <c r="M98" s="105"/>
      <c r="N98" s="105">
        <v>4849</v>
      </c>
      <c r="O98" s="105">
        <v>64419</v>
      </c>
      <c r="P98" s="105">
        <v>411488</v>
      </c>
      <c r="Q98" s="47" t="s">
        <v>25</v>
      </c>
    </row>
    <row r="99" spans="1:17" s="127" customFormat="1" ht="12.75" customHeight="1" hidden="1">
      <c r="A99" s="47" t="s">
        <v>26</v>
      </c>
      <c r="B99" s="123">
        <f t="shared" si="15"/>
        <v>19433</v>
      </c>
      <c r="C99" s="105">
        <v>7457</v>
      </c>
      <c r="D99" s="105">
        <v>11976</v>
      </c>
      <c r="E99" s="105">
        <v>79292</v>
      </c>
      <c r="F99" s="123">
        <v>143091</v>
      </c>
      <c r="G99" s="105">
        <v>130928</v>
      </c>
      <c r="H99" s="105">
        <v>11893</v>
      </c>
      <c r="I99" s="105"/>
      <c r="J99" s="105">
        <v>3236</v>
      </c>
      <c r="K99" s="105">
        <v>97335</v>
      </c>
      <c r="L99" s="105">
        <v>12970</v>
      </c>
      <c r="M99" s="105"/>
      <c r="N99" s="105">
        <v>6884</v>
      </c>
      <c r="O99" s="105">
        <v>66847</v>
      </c>
      <c r="P99" s="105">
        <v>429088</v>
      </c>
      <c r="Q99" s="47" t="s">
        <v>26</v>
      </c>
    </row>
    <row r="100" spans="1:17" s="127" customFormat="1" ht="12.75" customHeight="1" hidden="1">
      <c r="A100" s="18" t="s">
        <v>114</v>
      </c>
      <c r="B100" s="123">
        <f>C100+D100</f>
        <v>19945</v>
      </c>
      <c r="C100" s="105">
        <v>10260</v>
      </c>
      <c r="D100" s="105">
        <v>9685</v>
      </c>
      <c r="E100" s="105">
        <v>88910</v>
      </c>
      <c r="F100" s="123">
        <v>139341</v>
      </c>
      <c r="G100" s="105">
        <v>127715</v>
      </c>
      <c r="H100" s="105">
        <v>11358</v>
      </c>
      <c r="I100" s="105"/>
      <c r="J100" s="105">
        <v>3805</v>
      </c>
      <c r="K100" s="105">
        <v>99666</v>
      </c>
      <c r="L100" s="105">
        <v>8423</v>
      </c>
      <c r="M100" s="105"/>
      <c r="N100" s="105">
        <v>5759</v>
      </c>
      <c r="O100" s="105">
        <v>70662</v>
      </c>
      <c r="P100" s="105">
        <v>436512</v>
      </c>
      <c r="Q100" s="47" t="s">
        <v>27</v>
      </c>
    </row>
    <row r="101" spans="1:17" s="127" customFormat="1" ht="12.75" customHeight="1" hidden="1">
      <c r="A101" s="47" t="s">
        <v>28</v>
      </c>
      <c r="B101" s="123">
        <f t="shared" si="15"/>
        <v>21336</v>
      </c>
      <c r="C101" s="105">
        <v>10094</v>
      </c>
      <c r="D101" s="105">
        <v>11242</v>
      </c>
      <c r="E101" s="105">
        <v>81912</v>
      </c>
      <c r="F101" s="123">
        <v>138223</v>
      </c>
      <c r="G101" s="105">
        <v>127801</v>
      </c>
      <c r="H101" s="105">
        <v>10144</v>
      </c>
      <c r="I101" s="105"/>
      <c r="J101" s="105">
        <v>3482</v>
      </c>
      <c r="K101" s="105">
        <v>101407</v>
      </c>
      <c r="L101" s="105">
        <v>11724</v>
      </c>
      <c r="M101" s="105"/>
      <c r="N101" s="105">
        <v>7741</v>
      </c>
      <c r="O101" s="105">
        <v>65266</v>
      </c>
      <c r="P101" s="105">
        <v>431091</v>
      </c>
      <c r="Q101" s="47" t="s">
        <v>28</v>
      </c>
    </row>
    <row r="102" spans="1:17" s="127" customFormat="1" ht="12.75" customHeight="1" hidden="1">
      <c r="A102" s="47" t="s">
        <v>29</v>
      </c>
      <c r="B102" s="123">
        <f t="shared" si="15"/>
        <v>24238</v>
      </c>
      <c r="C102" s="105">
        <v>14436</v>
      </c>
      <c r="D102" s="105">
        <v>9802</v>
      </c>
      <c r="E102" s="105">
        <v>86335</v>
      </c>
      <c r="F102" s="123">
        <v>140773</v>
      </c>
      <c r="G102" s="105">
        <v>130328</v>
      </c>
      <c r="H102" s="105">
        <v>10155</v>
      </c>
      <c r="I102" s="105"/>
      <c r="J102" s="105">
        <v>3587</v>
      </c>
      <c r="K102" s="105">
        <v>103823</v>
      </c>
      <c r="L102" s="105">
        <v>11781</v>
      </c>
      <c r="M102" s="105"/>
      <c r="N102" s="105">
        <v>7168</v>
      </c>
      <c r="O102" s="105">
        <v>66402</v>
      </c>
      <c r="P102" s="105">
        <v>444107</v>
      </c>
      <c r="Q102" s="47" t="s">
        <v>29</v>
      </c>
    </row>
    <row r="103" spans="1:17" s="106" customFormat="1" ht="12.75" customHeight="1" hidden="1">
      <c r="A103" s="47" t="s">
        <v>86</v>
      </c>
      <c r="B103" s="123">
        <f>C103+D103</f>
        <v>20199</v>
      </c>
      <c r="C103" s="100">
        <v>11001</v>
      </c>
      <c r="D103" s="100">
        <v>9198</v>
      </c>
      <c r="E103" s="100">
        <v>89273</v>
      </c>
      <c r="F103" s="123">
        <v>148241</v>
      </c>
      <c r="G103" s="100">
        <v>134243</v>
      </c>
      <c r="H103" s="100">
        <v>13155</v>
      </c>
      <c r="I103" s="100"/>
      <c r="J103" s="100">
        <v>3207</v>
      </c>
      <c r="K103" s="100">
        <v>107842</v>
      </c>
      <c r="L103" s="100">
        <v>8170</v>
      </c>
      <c r="M103" s="100"/>
      <c r="N103" s="100">
        <v>7094</v>
      </c>
      <c r="O103" s="100">
        <v>69053</v>
      </c>
      <c r="P103" s="100">
        <v>453079</v>
      </c>
      <c r="Q103" s="47" t="s">
        <v>30</v>
      </c>
    </row>
    <row r="104" spans="1:17" s="132" customFormat="1" ht="12.75" customHeight="1" hidden="1">
      <c r="A104" s="68" t="s">
        <v>31</v>
      </c>
      <c r="B104" s="105">
        <f t="shared" si="15"/>
        <v>22040</v>
      </c>
      <c r="C104" s="103">
        <v>11309</v>
      </c>
      <c r="D104" s="103">
        <v>10731</v>
      </c>
      <c r="E104" s="103">
        <v>93260</v>
      </c>
      <c r="F104" s="105">
        <v>157388</v>
      </c>
      <c r="G104" s="103">
        <v>144998</v>
      </c>
      <c r="H104" s="103">
        <v>12155</v>
      </c>
      <c r="I104" s="103"/>
      <c r="J104" s="103">
        <v>3900</v>
      </c>
      <c r="K104" s="103">
        <v>110566</v>
      </c>
      <c r="L104" s="103">
        <v>14832</v>
      </c>
      <c r="M104" s="103"/>
      <c r="N104" s="103">
        <v>6377</v>
      </c>
      <c r="O104" s="103">
        <v>65247</v>
      </c>
      <c r="P104" s="103">
        <v>473611</v>
      </c>
      <c r="Q104" s="47" t="s">
        <v>31</v>
      </c>
    </row>
    <row r="105" spans="1:17" s="132" customFormat="1" ht="12.75" customHeight="1" hidden="1">
      <c r="A105" s="47" t="s">
        <v>32</v>
      </c>
      <c r="B105" s="105">
        <f t="shared" si="15"/>
        <v>29353</v>
      </c>
      <c r="C105" s="103">
        <v>10941</v>
      </c>
      <c r="D105" s="103">
        <v>18412</v>
      </c>
      <c r="E105" s="103">
        <v>84961</v>
      </c>
      <c r="F105" s="105">
        <v>171295</v>
      </c>
      <c r="G105" s="103">
        <v>160455</v>
      </c>
      <c r="H105" s="103">
        <v>10353</v>
      </c>
      <c r="I105" s="103"/>
      <c r="J105" s="103">
        <v>3596</v>
      </c>
      <c r="K105" s="103">
        <v>114324</v>
      </c>
      <c r="L105" s="103">
        <v>14037</v>
      </c>
      <c r="M105" s="103"/>
      <c r="N105" s="103">
        <v>6167</v>
      </c>
      <c r="O105" s="103">
        <v>65756</v>
      </c>
      <c r="P105" s="103">
        <v>489488</v>
      </c>
      <c r="Q105" s="47" t="s">
        <v>32</v>
      </c>
    </row>
    <row r="106" spans="1:17" s="132" customFormat="1" ht="12.75" customHeight="1" hidden="1">
      <c r="A106" s="68" t="s">
        <v>87</v>
      </c>
      <c r="B106" s="105">
        <f>C106+D106</f>
        <v>24876</v>
      </c>
      <c r="C106" s="103">
        <v>11545</v>
      </c>
      <c r="D106" s="103">
        <v>13331</v>
      </c>
      <c r="E106" s="103">
        <v>92727</v>
      </c>
      <c r="F106" s="105">
        <v>182429</v>
      </c>
      <c r="G106" s="103">
        <v>173484</v>
      </c>
      <c r="H106" s="103">
        <v>8353</v>
      </c>
      <c r="I106" s="103"/>
      <c r="J106" s="103">
        <v>4018</v>
      </c>
      <c r="K106" s="103">
        <v>119545</v>
      </c>
      <c r="L106" s="103">
        <v>11045</v>
      </c>
      <c r="M106" s="103"/>
      <c r="N106" s="103">
        <v>6701</v>
      </c>
      <c r="O106" s="103">
        <v>66240</v>
      </c>
      <c r="P106" s="103">
        <v>507581</v>
      </c>
      <c r="Q106" s="47" t="s">
        <v>33</v>
      </c>
    </row>
    <row r="107" spans="1:17" s="132" customFormat="1" ht="12.75" customHeight="1" hidden="1">
      <c r="A107" s="47" t="s">
        <v>35</v>
      </c>
      <c r="B107" s="105">
        <f t="shared" si="15"/>
        <v>17649</v>
      </c>
      <c r="C107" s="103">
        <v>8067</v>
      </c>
      <c r="D107" s="103">
        <v>9582</v>
      </c>
      <c r="E107" s="103">
        <v>106496</v>
      </c>
      <c r="F107" s="105">
        <v>176561</v>
      </c>
      <c r="G107" s="103">
        <v>167136</v>
      </c>
      <c r="H107" s="103">
        <v>8353</v>
      </c>
      <c r="I107" s="103"/>
      <c r="J107" s="103">
        <v>3148</v>
      </c>
      <c r="K107" s="103">
        <v>124313</v>
      </c>
      <c r="L107" s="103">
        <v>13112</v>
      </c>
      <c r="M107" s="103"/>
      <c r="N107" s="103">
        <v>8624</v>
      </c>
      <c r="O107" s="103">
        <v>62251</v>
      </c>
      <c r="P107" s="103">
        <v>512153</v>
      </c>
      <c r="Q107" s="47" t="s">
        <v>35</v>
      </c>
    </row>
    <row r="108" spans="1:17" s="132" customFormat="1" ht="12.75" customHeight="1" hidden="1">
      <c r="A108" s="68" t="s">
        <v>36</v>
      </c>
      <c r="B108" s="105">
        <v>26080</v>
      </c>
      <c r="C108" s="103">
        <v>13399</v>
      </c>
      <c r="D108" s="103">
        <v>12681</v>
      </c>
      <c r="E108" s="103">
        <v>113066</v>
      </c>
      <c r="F108" s="105">
        <v>180372</v>
      </c>
      <c r="G108" s="103">
        <v>171112</v>
      </c>
      <c r="H108" s="103">
        <v>7747</v>
      </c>
      <c r="I108" s="103"/>
      <c r="J108" s="103">
        <v>2651</v>
      </c>
      <c r="K108" s="103">
        <v>129339</v>
      </c>
      <c r="L108" s="103">
        <v>12746</v>
      </c>
      <c r="M108" s="103"/>
      <c r="N108" s="103">
        <v>7419</v>
      </c>
      <c r="O108" s="103">
        <v>68473</v>
      </c>
      <c r="P108" s="103">
        <v>540145</v>
      </c>
      <c r="Q108" s="47" t="s">
        <v>36</v>
      </c>
    </row>
    <row r="109" spans="1:17" s="132" customFormat="1" ht="12.75" customHeight="1" hidden="1">
      <c r="A109" s="47" t="s">
        <v>88</v>
      </c>
      <c r="B109" s="105">
        <v>27999</v>
      </c>
      <c r="C109" s="103">
        <v>16692</v>
      </c>
      <c r="D109" s="103">
        <v>11307</v>
      </c>
      <c r="E109" s="103">
        <v>100055</v>
      </c>
      <c r="F109" s="105">
        <v>151374</v>
      </c>
      <c r="G109" s="103">
        <v>141917</v>
      </c>
      <c r="H109" s="103">
        <v>7972</v>
      </c>
      <c r="I109" s="103"/>
      <c r="J109" s="103">
        <v>3440</v>
      </c>
      <c r="K109" s="103">
        <v>133362</v>
      </c>
      <c r="L109" s="103">
        <v>15547</v>
      </c>
      <c r="M109" s="103"/>
      <c r="N109" s="103">
        <v>5158</v>
      </c>
      <c r="O109" s="103">
        <v>63520</v>
      </c>
      <c r="P109" s="103">
        <v>500455</v>
      </c>
      <c r="Q109" s="47" t="s">
        <v>37</v>
      </c>
    </row>
    <row r="110" spans="1:17" s="132" customFormat="1" ht="12.75" customHeight="1" hidden="1">
      <c r="A110" s="47"/>
      <c r="B110" s="105"/>
      <c r="C110" s="103"/>
      <c r="D110" s="103"/>
      <c r="E110" s="103"/>
      <c r="F110" s="105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47"/>
    </row>
    <row r="111" spans="1:17" s="132" customFormat="1" ht="12.75" customHeight="1" hidden="1">
      <c r="A111" s="65">
        <v>2005</v>
      </c>
      <c r="B111" s="105"/>
      <c r="C111" s="103"/>
      <c r="D111" s="103"/>
      <c r="E111" s="103"/>
      <c r="F111" s="105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65">
        <v>2005</v>
      </c>
    </row>
    <row r="112" spans="1:17" s="132" customFormat="1" ht="12.75" customHeight="1" hidden="1">
      <c r="A112" s="47" t="s">
        <v>25</v>
      </c>
      <c r="B112" s="105">
        <v>35739</v>
      </c>
      <c r="C112" s="103">
        <v>14469</v>
      </c>
      <c r="D112" s="103">
        <v>21271</v>
      </c>
      <c r="E112" s="103">
        <v>108877</v>
      </c>
      <c r="F112" s="105">
        <v>156656</v>
      </c>
      <c r="G112" s="103">
        <v>146993</v>
      </c>
      <c r="H112" s="103">
        <v>8247</v>
      </c>
      <c r="I112" s="103"/>
      <c r="J112" s="103">
        <v>3585</v>
      </c>
      <c r="K112" s="103">
        <v>129785</v>
      </c>
      <c r="L112" s="103">
        <v>14734</v>
      </c>
      <c r="M112" s="103"/>
      <c r="N112" s="103">
        <v>5085</v>
      </c>
      <c r="O112" s="103">
        <v>69149</v>
      </c>
      <c r="P112" s="103">
        <v>523610</v>
      </c>
      <c r="Q112" s="47" t="s">
        <v>25</v>
      </c>
    </row>
    <row r="113" spans="1:17" s="132" customFormat="1" ht="12.75" customHeight="1" hidden="1">
      <c r="A113" s="47" t="s">
        <v>26</v>
      </c>
      <c r="B113" s="105">
        <v>29590</v>
      </c>
      <c r="C113" s="103">
        <v>13436</v>
      </c>
      <c r="D113" s="103">
        <v>16153</v>
      </c>
      <c r="E113" s="103">
        <v>119769</v>
      </c>
      <c r="F113" s="105">
        <v>160933</v>
      </c>
      <c r="G113" s="103">
        <v>151064</v>
      </c>
      <c r="H113" s="103">
        <v>8747</v>
      </c>
      <c r="I113" s="103"/>
      <c r="J113" s="103">
        <v>3041</v>
      </c>
      <c r="K113" s="103">
        <v>130589</v>
      </c>
      <c r="L113" s="103">
        <v>9956</v>
      </c>
      <c r="M113" s="103"/>
      <c r="N113" s="103">
        <v>7268</v>
      </c>
      <c r="O113" s="103">
        <v>68840</v>
      </c>
      <c r="P113" s="103">
        <v>529986</v>
      </c>
      <c r="Q113" s="47" t="s">
        <v>26</v>
      </c>
    </row>
    <row r="114" spans="1:17" s="132" customFormat="1" ht="12.75" customHeight="1" hidden="1">
      <c r="A114" s="18" t="s">
        <v>114</v>
      </c>
      <c r="B114" s="105">
        <v>34145</v>
      </c>
      <c r="C114" s="103">
        <v>14954</v>
      </c>
      <c r="D114" s="103">
        <v>19192</v>
      </c>
      <c r="E114" s="103">
        <v>130350</v>
      </c>
      <c r="F114" s="105">
        <v>158337</v>
      </c>
      <c r="G114" s="103">
        <v>146735</v>
      </c>
      <c r="H114" s="103">
        <v>8747</v>
      </c>
      <c r="I114" s="103"/>
      <c r="J114" s="103">
        <v>3718</v>
      </c>
      <c r="K114" s="103">
        <v>137837</v>
      </c>
      <c r="L114" s="103">
        <v>11136</v>
      </c>
      <c r="M114" s="103"/>
      <c r="N114" s="103">
        <v>5628</v>
      </c>
      <c r="O114" s="103">
        <v>77018</v>
      </c>
      <c r="P114" s="103">
        <v>558169</v>
      </c>
      <c r="Q114" s="47" t="s">
        <v>27</v>
      </c>
    </row>
    <row r="115" spans="1:17" s="132" customFormat="1" ht="12.75" customHeight="1" hidden="1">
      <c r="A115" s="47" t="s">
        <v>28</v>
      </c>
      <c r="B115" s="105">
        <v>38604</v>
      </c>
      <c r="C115" s="103">
        <v>14357</v>
      </c>
      <c r="D115" s="103">
        <v>24247</v>
      </c>
      <c r="E115" s="103">
        <v>129964</v>
      </c>
      <c r="F115" s="105">
        <v>152873</v>
      </c>
      <c r="G115" s="103">
        <v>142203</v>
      </c>
      <c r="H115" s="103">
        <v>8747</v>
      </c>
      <c r="I115" s="103"/>
      <c r="J115" s="103">
        <v>3233</v>
      </c>
      <c r="K115" s="103">
        <v>140491</v>
      </c>
      <c r="L115" s="103">
        <v>14104</v>
      </c>
      <c r="M115" s="103"/>
      <c r="N115" s="103">
        <v>7277</v>
      </c>
      <c r="O115" s="103">
        <v>75301</v>
      </c>
      <c r="P115" s="103">
        <v>561847</v>
      </c>
      <c r="Q115" s="47" t="s">
        <v>28</v>
      </c>
    </row>
    <row r="116" spans="1:17" s="132" customFormat="1" ht="12.75" customHeight="1" hidden="1">
      <c r="A116" s="47" t="s">
        <v>29</v>
      </c>
      <c r="B116" s="105">
        <v>34802</v>
      </c>
      <c r="C116" s="103">
        <v>14583</v>
      </c>
      <c r="D116" s="103">
        <v>20220</v>
      </c>
      <c r="E116" s="103">
        <v>106379</v>
      </c>
      <c r="F116" s="105">
        <v>159629</v>
      </c>
      <c r="G116" s="103">
        <v>149480</v>
      </c>
      <c r="H116" s="103">
        <v>8747</v>
      </c>
      <c r="I116" s="103"/>
      <c r="J116" s="103">
        <v>4605</v>
      </c>
      <c r="K116" s="103">
        <v>139861</v>
      </c>
      <c r="L116" s="103">
        <v>21996</v>
      </c>
      <c r="M116" s="103"/>
      <c r="N116" s="103">
        <v>7778</v>
      </c>
      <c r="O116" s="103">
        <v>79359</v>
      </c>
      <c r="P116" s="103">
        <v>554410</v>
      </c>
      <c r="Q116" s="47" t="s">
        <v>29</v>
      </c>
    </row>
    <row r="117" spans="1:17" s="132" customFormat="1" ht="12.75" customHeight="1" hidden="1">
      <c r="A117" s="47" t="s">
        <v>86</v>
      </c>
      <c r="B117" s="105">
        <v>32691</v>
      </c>
      <c r="C117" s="103">
        <v>14290</v>
      </c>
      <c r="D117" s="103">
        <v>18401</v>
      </c>
      <c r="E117" s="103">
        <v>138932</v>
      </c>
      <c r="F117" s="105">
        <v>154651</v>
      </c>
      <c r="G117" s="103">
        <v>147278</v>
      </c>
      <c r="H117" s="103">
        <v>5747</v>
      </c>
      <c r="I117" s="103"/>
      <c r="J117" s="103">
        <v>3263</v>
      </c>
      <c r="K117" s="103">
        <v>153480</v>
      </c>
      <c r="L117" s="103">
        <v>8227</v>
      </c>
      <c r="M117" s="103"/>
      <c r="N117" s="103">
        <v>10426</v>
      </c>
      <c r="O117" s="103">
        <v>75033</v>
      </c>
      <c r="P117" s="103">
        <v>576703</v>
      </c>
      <c r="Q117" s="47" t="s">
        <v>30</v>
      </c>
    </row>
    <row r="118" spans="1:17" s="132" customFormat="1" ht="12.75" customHeight="1" hidden="1">
      <c r="A118" s="47" t="s">
        <v>31</v>
      </c>
      <c r="B118" s="105">
        <f>C118+D118</f>
        <v>27949</v>
      </c>
      <c r="C118" s="103">
        <v>13600</v>
      </c>
      <c r="D118" s="103">
        <v>14349</v>
      </c>
      <c r="E118" s="103">
        <v>122995</v>
      </c>
      <c r="F118" s="105">
        <v>164304</v>
      </c>
      <c r="G118" s="103">
        <v>156781</v>
      </c>
      <c r="H118" s="103">
        <v>4747</v>
      </c>
      <c r="I118" s="103"/>
      <c r="J118" s="103">
        <v>3276</v>
      </c>
      <c r="K118" s="103">
        <v>157244</v>
      </c>
      <c r="L118" s="103">
        <v>6397</v>
      </c>
      <c r="M118" s="103"/>
      <c r="N118" s="103">
        <v>9308</v>
      </c>
      <c r="O118" s="103">
        <v>80912</v>
      </c>
      <c r="P118" s="103">
        <v>572386</v>
      </c>
      <c r="Q118" s="47" t="s">
        <v>31</v>
      </c>
    </row>
    <row r="119" spans="1:17" s="132" customFormat="1" ht="12.75" customHeight="1" hidden="1">
      <c r="A119" s="47" t="s">
        <v>32</v>
      </c>
      <c r="B119" s="105">
        <f aca="true" t="shared" si="16" ref="B119:B138">C119+D119</f>
        <v>44407</v>
      </c>
      <c r="C119" s="103">
        <v>14412</v>
      </c>
      <c r="D119" s="103">
        <v>29995</v>
      </c>
      <c r="E119" s="103">
        <v>130487</v>
      </c>
      <c r="F119" s="105">
        <v>166406</v>
      </c>
      <c r="G119" s="103">
        <v>158520</v>
      </c>
      <c r="H119" s="103">
        <v>4747</v>
      </c>
      <c r="I119" s="103"/>
      <c r="J119" s="103">
        <v>4144</v>
      </c>
      <c r="K119" s="103">
        <v>156640</v>
      </c>
      <c r="L119" s="103">
        <v>16377</v>
      </c>
      <c r="M119" s="103"/>
      <c r="N119" s="103">
        <v>10187</v>
      </c>
      <c r="O119" s="103">
        <v>97121</v>
      </c>
      <c r="P119" s="103">
        <v>625770</v>
      </c>
      <c r="Q119" s="47" t="s">
        <v>32</v>
      </c>
    </row>
    <row r="120" spans="1:17" s="132" customFormat="1" ht="12.75" customHeight="1" hidden="1">
      <c r="A120" s="68" t="s">
        <v>87</v>
      </c>
      <c r="B120" s="105">
        <f t="shared" si="16"/>
        <v>38180</v>
      </c>
      <c r="C120" s="103">
        <v>12803</v>
      </c>
      <c r="D120" s="103">
        <v>25377</v>
      </c>
      <c r="E120" s="103">
        <v>125592</v>
      </c>
      <c r="F120" s="105">
        <v>180969</v>
      </c>
      <c r="G120" s="103">
        <v>169714</v>
      </c>
      <c r="H120" s="103">
        <v>8944</v>
      </c>
      <c r="I120" s="103"/>
      <c r="J120" s="103">
        <v>5342</v>
      </c>
      <c r="K120" s="103">
        <v>154050</v>
      </c>
      <c r="L120" s="103">
        <v>21998</v>
      </c>
      <c r="M120" s="103"/>
      <c r="N120" s="103">
        <v>9963</v>
      </c>
      <c r="O120" s="103">
        <v>90307</v>
      </c>
      <c r="P120" s="103">
        <v>626399</v>
      </c>
      <c r="Q120" s="47" t="s">
        <v>33</v>
      </c>
    </row>
    <row r="121" spans="1:17" s="132" customFormat="1" ht="12.75" customHeight="1" hidden="1">
      <c r="A121" s="47" t="s">
        <v>35</v>
      </c>
      <c r="B121" s="105">
        <f t="shared" si="16"/>
        <v>0</v>
      </c>
      <c r="C121" s="103"/>
      <c r="D121" s="103"/>
      <c r="E121" s="103"/>
      <c r="F121" s="105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47" t="s">
        <v>35</v>
      </c>
    </row>
    <row r="122" spans="1:17" s="132" customFormat="1" ht="13.5" customHeight="1" hidden="1">
      <c r="A122" s="47" t="s">
        <v>154</v>
      </c>
      <c r="B122" s="105">
        <f t="shared" si="16"/>
        <v>38263</v>
      </c>
      <c r="C122" s="103">
        <v>16871</v>
      </c>
      <c r="D122" s="103">
        <v>21392</v>
      </c>
      <c r="E122" s="103">
        <v>135078</v>
      </c>
      <c r="F122" s="105">
        <v>188873</v>
      </c>
      <c r="G122" s="103">
        <v>176892</v>
      </c>
      <c r="H122" s="103">
        <v>9404</v>
      </c>
      <c r="I122" s="103"/>
      <c r="J122" s="103">
        <v>3807</v>
      </c>
      <c r="K122" s="103">
        <v>156628</v>
      </c>
      <c r="L122" s="103">
        <v>16208</v>
      </c>
      <c r="M122" s="103"/>
      <c r="N122" s="103">
        <v>12766</v>
      </c>
      <c r="O122" s="103">
        <v>93857</v>
      </c>
      <c r="P122" s="103">
        <v>645481</v>
      </c>
      <c r="Q122" s="47" t="s">
        <v>154</v>
      </c>
    </row>
    <row r="123" spans="1:17" s="132" customFormat="1" ht="16.5" customHeight="1" hidden="1">
      <c r="A123" s="47" t="s">
        <v>36</v>
      </c>
      <c r="B123" s="105">
        <f t="shared" si="16"/>
        <v>31285</v>
      </c>
      <c r="C123" s="103">
        <v>13475</v>
      </c>
      <c r="D123" s="103">
        <v>17810</v>
      </c>
      <c r="E123" s="103">
        <v>134418</v>
      </c>
      <c r="F123" s="105">
        <v>208081</v>
      </c>
      <c r="G123" s="103">
        <v>197425</v>
      </c>
      <c r="H123" s="103">
        <v>9185</v>
      </c>
      <c r="I123" s="103"/>
      <c r="J123" s="103">
        <v>3622</v>
      </c>
      <c r="K123" s="103">
        <v>156343</v>
      </c>
      <c r="L123" s="103">
        <v>16384</v>
      </c>
      <c r="M123" s="103"/>
      <c r="N123" s="103">
        <v>15387</v>
      </c>
      <c r="O123" s="103">
        <v>93143</v>
      </c>
      <c r="P123" s="103">
        <v>658664</v>
      </c>
      <c r="Q123" s="47" t="s">
        <v>36</v>
      </c>
    </row>
    <row r="124" spans="1:17" s="132" customFormat="1" ht="15" customHeight="1" hidden="1">
      <c r="A124" s="47" t="s">
        <v>88</v>
      </c>
      <c r="B124" s="105">
        <f t="shared" si="16"/>
        <v>56276</v>
      </c>
      <c r="C124" s="103">
        <v>23804</v>
      </c>
      <c r="D124" s="103">
        <v>32472</v>
      </c>
      <c r="E124" s="103">
        <v>149884</v>
      </c>
      <c r="F124" s="105">
        <v>205695</v>
      </c>
      <c r="G124" s="103">
        <v>194546</v>
      </c>
      <c r="H124" s="103">
        <v>8752</v>
      </c>
      <c r="I124" s="103"/>
      <c r="J124" s="103">
        <v>4338</v>
      </c>
      <c r="K124" s="103">
        <v>154052</v>
      </c>
      <c r="L124" s="103">
        <v>16649</v>
      </c>
      <c r="M124" s="103"/>
      <c r="N124" s="103">
        <v>13164</v>
      </c>
      <c r="O124" s="103">
        <v>99128</v>
      </c>
      <c r="P124" s="103">
        <v>699186</v>
      </c>
      <c r="Q124" s="47" t="s">
        <v>37</v>
      </c>
    </row>
    <row r="125" spans="1:17" s="132" customFormat="1" ht="15" customHeight="1" hidden="1">
      <c r="A125" s="47"/>
      <c r="B125" s="105"/>
      <c r="C125" s="103"/>
      <c r="D125" s="103"/>
      <c r="E125" s="103"/>
      <c r="F125" s="105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47"/>
    </row>
    <row r="126" spans="1:17" s="132" customFormat="1" ht="15" customHeight="1" hidden="1">
      <c r="A126" s="65">
        <v>2006</v>
      </c>
      <c r="B126" s="105"/>
      <c r="C126" s="103"/>
      <c r="D126" s="103"/>
      <c r="E126" s="103"/>
      <c r="F126" s="105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65">
        <v>2006</v>
      </c>
    </row>
    <row r="127" spans="1:17" s="132" customFormat="1" ht="15" customHeight="1" hidden="1">
      <c r="A127" s="47" t="s">
        <v>25</v>
      </c>
      <c r="B127" s="105">
        <f t="shared" si="16"/>
        <v>47443</v>
      </c>
      <c r="C127" s="103">
        <v>13411</v>
      </c>
      <c r="D127" s="103">
        <v>34032</v>
      </c>
      <c r="E127" s="103">
        <v>132063</v>
      </c>
      <c r="F127" s="105">
        <v>222719</v>
      </c>
      <c r="G127" s="103">
        <v>211917</v>
      </c>
      <c r="H127" s="103">
        <v>9029</v>
      </c>
      <c r="I127" s="103"/>
      <c r="J127" s="103">
        <v>3359</v>
      </c>
      <c r="K127" s="103">
        <v>157319</v>
      </c>
      <c r="L127" s="103">
        <v>21689</v>
      </c>
      <c r="M127" s="103"/>
      <c r="N127" s="103">
        <v>14573</v>
      </c>
      <c r="O127" s="103">
        <v>106683</v>
      </c>
      <c r="P127" s="103">
        <v>705848</v>
      </c>
      <c r="Q127" s="47" t="s">
        <v>25</v>
      </c>
    </row>
    <row r="128" spans="1:17" s="132" customFormat="1" ht="15" customHeight="1" hidden="1">
      <c r="A128" s="47" t="s">
        <v>26</v>
      </c>
      <c r="B128" s="105">
        <f t="shared" si="16"/>
        <v>50232</v>
      </c>
      <c r="C128" s="103">
        <v>13368</v>
      </c>
      <c r="D128" s="103">
        <v>36864</v>
      </c>
      <c r="E128" s="103">
        <v>131106</v>
      </c>
      <c r="F128" s="105">
        <v>228530</v>
      </c>
      <c r="G128" s="103">
        <v>215881</v>
      </c>
      <c r="H128" s="103">
        <v>10568</v>
      </c>
      <c r="I128" s="103"/>
      <c r="J128" s="103">
        <v>5229</v>
      </c>
      <c r="K128" s="103">
        <v>165082</v>
      </c>
      <c r="L128" s="103">
        <v>14695</v>
      </c>
      <c r="M128" s="103"/>
      <c r="N128" s="103">
        <v>7580</v>
      </c>
      <c r="O128" s="103">
        <v>105399</v>
      </c>
      <c r="P128" s="103">
        <v>707853</v>
      </c>
      <c r="Q128" s="47" t="s">
        <v>26</v>
      </c>
    </row>
    <row r="129" spans="1:17" s="132" customFormat="1" ht="15" customHeight="1" hidden="1">
      <c r="A129" s="47" t="s">
        <v>135</v>
      </c>
      <c r="B129" s="105">
        <f t="shared" si="16"/>
        <v>40040</v>
      </c>
      <c r="C129" s="103">
        <v>12554</v>
      </c>
      <c r="D129" s="103">
        <v>27486</v>
      </c>
      <c r="E129" s="103">
        <v>125161</v>
      </c>
      <c r="F129" s="105">
        <v>216676</v>
      </c>
      <c r="G129" s="103">
        <v>205079</v>
      </c>
      <c r="H129" s="103">
        <v>10568</v>
      </c>
      <c r="I129" s="103"/>
      <c r="J129" s="103">
        <v>6219</v>
      </c>
      <c r="K129" s="103">
        <v>167497</v>
      </c>
      <c r="L129" s="103">
        <v>26162</v>
      </c>
      <c r="M129" s="103"/>
      <c r="N129" s="103">
        <v>8567</v>
      </c>
      <c r="O129" s="103">
        <v>103591</v>
      </c>
      <c r="P129" s="103">
        <v>693913</v>
      </c>
      <c r="Q129" s="47" t="s">
        <v>27</v>
      </c>
    </row>
    <row r="130" spans="1:17" s="132" customFormat="1" ht="15" customHeight="1" hidden="1">
      <c r="A130" s="47" t="s">
        <v>28</v>
      </c>
      <c r="B130" s="105">
        <f t="shared" si="16"/>
        <v>48738</v>
      </c>
      <c r="C130" s="103">
        <v>13494</v>
      </c>
      <c r="D130" s="103">
        <v>35244</v>
      </c>
      <c r="E130" s="103">
        <v>155183</v>
      </c>
      <c r="F130" s="105">
        <v>212915</v>
      </c>
      <c r="G130" s="103">
        <v>200351</v>
      </c>
      <c r="H130" s="103">
        <v>11057</v>
      </c>
      <c r="I130" s="103"/>
      <c r="J130" s="103">
        <v>7426</v>
      </c>
      <c r="K130" s="103">
        <v>167575</v>
      </c>
      <c r="L130" s="103">
        <v>19770</v>
      </c>
      <c r="M130" s="103"/>
      <c r="N130" s="103">
        <v>13772</v>
      </c>
      <c r="O130" s="103">
        <v>109321</v>
      </c>
      <c r="P130" s="103">
        <v>734700</v>
      </c>
      <c r="Q130" s="47" t="s">
        <v>28</v>
      </c>
    </row>
    <row r="131" spans="1:17" s="132" customFormat="1" ht="15" customHeight="1" hidden="1">
      <c r="A131" s="47" t="s">
        <v>29</v>
      </c>
      <c r="B131" s="105">
        <f t="shared" si="16"/>
        <v>56918</v>
      </c>
      <c r="C131" s="103">
        <v>16048</v>
      </c>
      <c r="D131" s="103">
        <v>40870</v>
      </c>
      <c r="E131" s="103">
        <v>157372</v>
      </c>
      <c r="F131" s="103">
        <v>219820</v>
      </c>
      <c r="G131" s="103">
        <v>205624</v>
      </c>
      <c r="H131" s="103">
        <v>13162</v>
      </c>
      <c r="I131" s="103"/>
      <c r="J131" s="103">
        <v>6224</v>
      </c>
      <c r="K131" s="103">
        <v>168236</v>
      </c>
      <c r="L131" s="103">
        <v>10861</v>
      </c>
      <c r="M131" s="103"/>
      <c r="N131" s="103">
        <v>10198</v>
      </c>
      <c r="O131" s="103">
        <v>108357</v>
      </c>
      <c r="P131" s="103">
        <v>737986</v>
      </c>
      <c r="Q131" s="47" t="s">
        <v>29</v>
      </c>
    </row>
    <row r="132" spans="1:17" s="132" customFormat="1" ht="15" customHeight="1" hidden="1">
      <c r="A132" s="47" t="s">
        <v>86</v>
      </c>
      <c r="B132" s="105">
        <f t="shared" si="16"/>
        <v>44529</v>
      </c>
      <c r="C132" s="103">
        <v>15854</v>
      </c>
      <c r="D132" s="103">
        <v>28675</v>
      </c>
      <c r="E132" s="103">
        <v>162714</v>
      </c>
      <c r="F132" s="103">
        <v>209157</v>
      </c>
      <c r="G132" s="103">
        <v>194555</v>
      </c>
      <c r="H132" s="103">
        <v>12328</v>
      </c>
      <c r="I132" s="103"/>
      <c r="J132" s="103">
        <v>9047</v>
      </c>
      <c r="K132" s="103">
        <v>170851</v>
      </c>
      <c r="L132" s="103">
        <v>13838</v>
      </c>
      <c r="M132" s="103"/>
      <c r="N132" s="103">
        <v>15125</v>
      </c>
      <c r="O132" s="103">
        <v>106982</v>
      </c>
      <c r="P132" s="103">
        <v>732241</v>
      </c>
      <c r="Q132" s="47" t="s">
        <v>30</v>
      </c>
    </row>
    <row r="133" spans="1:17" s="78" customFormat="1" ht="15" customHeight="1" hidden="1">
      <c r="A133" s="47" t="s">
        <v>31</v>
      </c>
      <c r="B133" s="105">
        <f t="shared" si="16"/>
        <v>44429</v>
      </c>
      <c r="C133" s="103">
        <v>20497</v>
      </c>
      <c r="D133" s="103">
        <v>23932</v>
      </c>
      <c r="E133" s="103">
        <v>183016</v>
      </c>
      <c r="F133" s="103">
        <v>226537</v>
      </c>
      <c r="G133" s="103">
        <v>212125</v>
      </c>
      <c r="H133" s="103">
        <v>12345</v>
      </c>
      <c r="I133" s="103"/>
      <c r="J133" s="103">
        <v>6219</v>
      </c>
      <c r="K133" s="103">
        <v>167320</v>
      </c>
      <c r="L133" s="103">
        <v>21447</v>
      </c>
      <c r="M133" s="103"/>
      <c r="N133" s="103">
        <v>14488</v>
      </c>
      <c r="O133" s="103">
        <v>110017</v>
      </c>
      <c r="P133" s="103">
        <v>773473</v>
      </c>
      <c r="Q133" s="47" t="s">
        <v>31</v>
      </c>
    </row>
    <row r="134" spans="1:17" s="78" customFormat="1" ht="15" customHeight="1" hidden="1">
      <c r="A134" s="47" t="s">
        <v>32</v>
      </c>
      <c r="B134" s="105">
        <f t="shared" si="16"/>
        <v>64136</v>
      </c>
      <c r="C134" s="103">
        <v>17677</v>
      </c>
      <c r="D134" s="103">
        <v>46459</v>
      </c>
      <c r="E134" s="103">
        <v>214679</v>
      </c>
      <c r="F134" s="103">
        <v>238599</v>
      </c>
      <c r="G134" s="103">
        <v>224005</v>
      </c>
      <c r="H134" s="103">
        <v>12364</v>
      </c>
      <c r="I134" s="103"/>
      <c r="J134" s="103">
        <v>5286</v>
      </c>
      <c r="K134" s="103">
        <v>171770</v>
      </c>
      <c r="L134" s="103">
        <v>9001</v>
      </c>
      <c r="M134" s="103"/>
      <c r="N134" s="103">
        <v>13635</v>
      </c>
      <c r="O134" s="103">
        <v>108209</v>
      </c>
      <c r="P134" s="103">
        <v>825315</v>
      </c>
      <c r="Q134" s="47" t="s">
        <v>32</v>
      </c>
    </row>
    <row r="135" spans="1:17" s="78" customFormat="1" ht="15" customHeight="1" hidden="1">
      <c r="A135" s="47" t="s">
        <v>87</v>
      </c>
      <c r="B135" s="105">
        <f t="shared" si="16"/>
        <v>66873</v>
      </c>
      <c r="C135" s="103">
        <v>20544</v>
      </c>
      <c r="D135" s="103">
        <v>46329</v>
      </c>
      <c r="E135" s="103">
        <v>189111</v>
      </c>
      <c r="F135" s="103">
        <v>247305</v>
      </c>
      <c r="G135" s="103">
        <v>228071</v>
      </c>
      <c r="H135" s="103">
        <v>17351</v>
      </c>
      <c r="I135" s="103"/>
      <c r="J135" s="103">
        <v>5614</v>
      </c>
      <c r="K135" s="103">
        <v>173603</v>
      </c>
      <c r="L135" s="103">
        <v>14001</v>
      </c>
      <c r="M135" s="103"/>
      <c r="N135" s="103">
        <v>13626</v>
      </c>
      <c r="O135" s="103">
        <v>108954</v>
      </c>
      <c r="P135" s="103">
        <v>819086</v>
      </c>
      <c r="Q135" s="47" t="s">
        <v>33</v>
      </c>
    </row>
    <row r="136" spans="1:17" s="78" customFormat="1" ht="15" customHeight="1" hidden="1">
      <c r="A136" s="47" t="s">
        <v>35</v>
      </c>
      <c r="B136" s="105">
        <f t="shared" si="16"/>
        <v>61752</v>
      </c>
      <c r="C136" s="103">
        <v>18691</v>
      </c>
      <c r="D136" s="103">
        <v>43061</v>
      </c>
      <c r="E136" s="103">
        <v>186798</v>
      </c>
      <c r="F136" s="103">
        <v>250370</v>
      </c>
      <c r="G136" s="103">
        <v>222114</v>
      </c>
      <c r="H136" s="103">
        <v>25094</v>
      </c>
      <c r="I136" s="103"/>
      <c r="J136" s="103">
        <v>4672</v>
      </c>
      <c r="K136" s="103">
        <v>179803</v>
      </c>
      <c r="L136" s="103">
        <v>18188</v>
      </c>
      <c r="M136" s="103"/>
      <c r="N136" s="103">
        <v>6014</v>
      </c>
      <c r="O136" s="103">
        <v>110027</v>
      </c>
      <c r="P136" s="103">
        <v>817624</v>
      </c>
      <c r="Q136" s="47" t="s">
        <v>35</v>
      </c>
    </row>
    <row r="137" spans="1:17" s="78" customFormat="1" ht="15" customHeight="1" hidden="1">
      <c r="A137" s="47" t="s">
        <v>36</v>
      </c>
      <c r="B137" s="105">
        <f t="shared" si="16"/>
        <v>69253</v>
      </c>
      <c r="C137" s="103">
        <v>15376</v>
      </c>
      <c r="D137" s="103">
        <v>53877</v>
      </c>
      <c r="E137" s="103">
        <v>185362</v>
      </c>
      <c r="F137" s="103">
        <v>232319</v>
      </c>
      <c r="G137" s="103">
        <v>204593</v>
      </c>
      <c r="H137" s="103">
        <v>25428</v>
      </c>
      <c r="I137" s="103">
        <v>9400</v>
      </c>
      <c r="J137" s="103">
        <v>4711</v>
      </c>
      <c r="K137" s="103">
        <v>188985</v>
      </c>
      <c r="L137" s="103">
        <v>16068</v>
      </c>
      <c r="M137" s="103"/>
      <c r="N137" s="103">
        <v>7744</v>
      </c>
      <c r="O137" s="103">
        <v>110937</v>
      </c>
      <c r="P137" s="103">
        <v>824778</v>
      </c>
      <c r="Q137" s="47" t="s">
        <v>36</v>
      </c>
    </row>
    <row r="138" spans="1:17" s="78" customFormat="1" ht="15" customHeight="1" hidden="1">
      <c r="A138" s="47" t="s">
        <v>88</v>
      </c>
      <c r="B138" s="105">
        <f t="shared" si="16"/>
        <v>39860</v>
      </c>
      <c r="C138" s="103">
        <v>19277</v>
      </c>
      <c r="D138" s="103">
        <v>20583</v>
      </c>
      <c r="E138" s="103">
        <v>209626</v>
      </c>
      <c r="F138" s="103">
        <v>225039</v>
      </c>
      <c r="G138" s="103">
        <v>192696</v>
      </c>
      <c r="H138" s="103">
        <v>29534</v>
      </c>
      <c r="I138" s="103">
        <v>9400</v>
      </c>
      <c r="J138" s="103">
        <v>5228</v>
      </c>
      <c r="K138" s="103">
        <v>186409</v>
      </c>
      <c r="L138" s="103">
        <v>14114</v>
      </c>
      <c r="M138" s="103"/>
      <c r="N138" s="103">
        <v>14869</v>
      </c>
      <c r="O138" s="103">
        <v>124208</v>
      </c>
      <c r="P138" s="103">
        <v>828754</v>
      </c>
      <c r="Q138" s="47" t="s">
        <v>37</v>
      </c>
    </row>
    <row r="139" spans="1:17" s="78" customFormat="1" ht="15" customHeight="1" hidden="1">
      <c r="A139" s="47"/>
      <c r="B139" s="105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47"/>
    </row>
    <row r="140" spans="1:17" s="78" customFormat="1" ht="15" customHeight="1" hidden="1">
      <c r="A140" s="65">
        <v>2007</v>
      </c>
      <c r="B140" s="105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65">
        <v>2007</v>
      </c>
    </row>
    <row r="141" spans="1:17" s="78" customFormat="1" ht="15" customHeight="1" hidden="1">
      <c r="A141" s="47" t="s">
        <v>25</v>
      </c>
      <c r="B141" s="105">
        <v>56891.517123000005</v>
      </c>
      <c r="C141" s="103">
        <v>23505.75</v>
      </c>
      <c r="D141" s="103">
        <v>33385.767123</v>
      </c>
      <c r="E141" s="103">
        <v>211352.88717899998</v>
      </c>
      <c r="F141" s="103">
        <v>228567.948</v>
      </c>
      <c r="G141" s="103">
        <v>200622</v>
      </c>
      <c r="H141" s="103">
        <v>24601</v>
      </c>
      <c r="I141" s="103">
        <v>10180</v>
      </c>
      <c r="J141" s="103">
        <v>5152.65</v>
      </c>
      <c r="K141" s="103">
        <v>192578.140603</v>
      </c>
      <c r="L141" s="103">
        <v>19523.272</v>
      </c>
      <c r="M141" s="103"/>
      <c r="N141" s="103">
        <v>13292.524881</v>
      </c>
      <c r="O141" s="103">
        <v>134561.305596</v>
      </c>
      <c r="P141" s="103">
        <v>872100.245382</v>
      </c>
      <c r="Q141" s="47" t="s">
        <v>25</v>
      </c>
    </row>
    <row r="142" spans="1:17" s="78" customFormat="1" ht="15" customHeight="1" hidden="1">
      <c r="A142" s="47" t="s">
        <v>26</v>
      </c>
      <c r="B142" s="105">
        <v>43470.877</v>
      </c>
      <c r="C142" s="103">
        <v>21721.235</v>
      </c>
      <c r="D142" s="103">
        <v>21749.642</v>
      </c>
      <c r="E142" s="103">
        <v>228142.553</v>
      </c>
      <c r="F142" s="103">
        <v>260747.337</v>
      </c>
      <c r="G142" s="103">
        <v>230816</v>
      </c>
      <c r="H142" s="103">
        <v>25494</v>
      </c>
      <c r="I142" s="103">
        <v>8766</v>
      </c>
      <c r="J142" s="103">
        <v>4822.388</v>
      </c>
      <c r="K142" s="103">
        <v>195000.301043</v>
      </c>
      <c r="L142" s="103">
        <v>19773.78</v>
      </c>
      <c r="M142" s="103"/>
      <c r="N142" s="103">
        <v>17776.128</v>
      </c>
      <c r="O142" s="103">
        <v>136936.264</v>
      </c>
      <c r="P142" s="103">
        <v>915435.628043</v>
      </c>
      <c r="Q142" s="47" t="s">
        <v>26</v>
      </c>
    </row>
    <row r="143" spans="1:17" s="78" customFormat="1" ht="15" customHeight="1" hidden="1">
      <c r="A143" s="47" t="s">
        <v>135</v>
      </c>
      <c r="B143" s="105">
        <v>51517.286</v>
      </c>
      <c r="C143" s="103">
        <v>24615.542</v>
      </c>
      <c r="D143" s="103">
        <v>26901.744</v>
      </c>
      <c r="E143" s="103">
        <v>248038.622</v>
      </c>
      <c r="F143" s="103">
        <v>260425.994</v>
      </c>
      <c r="G143" s="103">
        <v>229803</v>
      </c>
      <c r="H143" s="103">
        <v>26974</v>
      </c>
      <c r="I143" s="103">
        <v>8079</v>
      </c>
      <c r="J143" s="103">
        <v>6900.107</v>
      </c>
      <c r="K143" s="103">
        <v>196316.764043</v>
      </c>
      <c r="L143" s="103">
        <v>18616.833</v>
      </c>
      <c r="M143" s="103"/>
      <c r="N143" s="103">
        <v>20424.94</v>
      </c>
      <c r="O143" s="103">
        <v>140191.084</v>
      </c>
      <c r="P143" s="103">
        <v>950510.630043</v>
      </c>
      <c r="Q143" s="47" t="s">
        <v>27</v>
      </c>
    </row>
    <row r="144" spans="1:17" s="78" customFormat="1" ht="15" customHeight="1" hidden="1">
      <c r="A144" s="47" t="s">
        <v>28</v>
      </c>
      <c r="B144" s="105">
        <v>75555.054</v>
      </c>
      <c r="C144" s="103">
        <v>28910.224</v>
      </c>
      <c r="D144" s="103">
        <v>46644.83</v>
      </c>
      <c r="E144" s="103">
        <v>260503.784</v>
      </c>
      <c r="F144" s="103">
        <v>226517.804</v>
      </c>
      <c r="G144" s="103">
        <v>198694</v>
      </c>
      <c r="H144" s="103">
        <v>26041</v>
      </c>
      <c r="I144" s="103">
        <v>7569</v>
      </c>
      <c r="J144" s="103">
        <v>7540.276</v>
      </c>
      <c r="K144" s="103">
        <v>206859.00104300003</v>
      </c>
      <c r="L144" s="103">
        <v>18396.81</v>
      </c>
      <c r="M144" s="103"/>
      <c r="N144" s="103">
        <v>25909.695</v>
      </c>
      <c r="O144" s="103">
        <v>133058.22</v>
      </c>
      <c r="P144" s="103">
        <v>961909.644043</v>
      </c>
      <c r="Q144" s="47" t="s">
        <v>28</v>
      </c>
    </row>
    <row r="145" spans="1:17" s="78" customFormat="1" ht="15" customHeight="1" hidden="1">
      <c r="A145" s="47" t="s">
        <v>29</v>
      </c>
      <c r="B145" s="105">
        <v>61421.514</v>
      </c>
      <c r="C145" s="103">
        <v>22411.358</v>
      </c>
      <c r="D145" s="103">
        <v>39010.156</v>
      </c>
      <c r="E145" s="103">
        <v>271993.184</v>
      </c>
      <c r="F145" s="103">
        <v>225670.034</v>
      </c>
      <c r="G145" s="103">
        <v>198670</v>
      </c>
      <c r="H145" s="103">
        <v>23306</v>
      </c>
      <c r="I145" s="103">
        <v>5000</v>
      </c>
      <c r="J145" s="103">
        <v>7802.845</v>
      </c>
      <c r="K145" s="103">
        <v>212527.98504300002</v>
      </c>
      <c r="L145" s="103">
        <v>20178.366</v>
      </c>
      <c r="M145" s="103"/>
      <c r="N145" s="103">
        <v>12121.154</v>
      </c>
      <c r="O145" s="103">
        <v>133340.256</v>
      </c>
      <c r="P145" s="103">
        <v>950055.338043</v>
      </c>
      <c r="Q145" s="47" t="s">
        <v>29</v>
      </c>
    </row>
    <row r="146" spans="1:17" s="78" customFormat="1" ht="15" customHeight="1" hidden="1">
      <c r="A146" s="47" t="s">
        <v>86</v>
      </c>
      <c r="B146" s="105">
        <v>40521.722</v>
      </c>
      <c r="C146" s="103">
        <v>21572.722</v>
      </c>
      <c r="D146" s="103">
        <v>18949</v>
      </c>
      <c r="E146" s="103">
        <v>268115.315</v>
      </c>
      <c r="F146" s="103">
        <v>229857.434</v>
      </c>
      <c r="G146" s="103">
        <v>200619</v>
      </c>
      <c r="H146" s="103">
        <v>24278</v>
      </c>
      <c r="I146" s="103">
        <v>9000</v>
      </c>
      <c r="J146" s="103">
        <v>10960.346</v>
      </c>
      <c r="K146" s="103">
        <v>218311.142043</v>
      </c>
      <c r="L146" s="103">
        <v>16304.874</v>
      </c>
      <c r="M146" s="103"/>
      <c r="N146" s="103">
        <v>18667.534</v>
      </c>
      <c r="O146" s="103">
        <v>143476.761</v>
      </c>
      <c r="P146" s="103">
        <v>955215.128043</v>
      </c>
      <c r="Q146" s="47" t="s">
        <v>30</v>
      </c>
    </row>
    <row r="147" spans="1:17" s="78" customFormat="1" ht="15" customHeight="1" hidden="1">
      <c r="A147" s="47" t="s">
        <v>31</v>
      </c>
      <c r="B147" s="105">
        <v>62638.862</v>
      </c>
      <c r="C147" s="103">
        <v>27244.458</v>
      </c>
      <c r="D147" s="103">
        <v>35394.404</v>
      </c>
      <c r="E147" s="103">
        <v>279492.65</v>
      </c>
      <c r="F147" s="103">
        <v>232459.723</v>
      </c>
      <c r="G147" s="103">
        <v>203689</v>
      </c>
      <c r="H147" s="103">
        <v>24189</v>
      </c>
      <c r="I147" s="103">
        <v>5000</v>
      </c>
      <c r="J147" s="103">
        <v>8652.29</v>
      </c>
      <c r="K147" s="103">
        <v>219982.62</v>
      </c>
      <c r="L147" s="103">
        <v>8816.051</v>
      </c>
      <c r="M147" s="103"/>
      <c r="N147" s="103">
        <v>22744.739</v>
      </c>
      <c r="O147" s="103">
        <v>142098.17</v>
      </c>
      <c r="P147" s="103">
        <v>981885.105</v>
      </c>
      <c r="Q147" s="47" t="s">
        <v>31</v>
      </c>
    </row>
    <row r="148" spans="1:17" s="78" customFormat="1" ht="15" customHeight="1" hidden="1">
      <c r="A148" s="47" t="s">
        <v>32</v>
      </c>
      <c r="B148" s="105">
        <v>57391.982</v>
      </c>
      <c r="C148" s="103">
        <v>18987.398</v>
      </c>
      <c r="D148" s="103">
        <v>38404.584</v>
      </c>
      <c r="E148" s="103">
        <v>271133.432</v>
      </c>
      <c r="F148" s="103">
        <v>238503.105</v>
      </c>
      <c r="G148" s="103">
        <v>219847</v>
      </c>
      <c r="H148" s="103">
        <v>13510</v>
      </c>
      <c r="I148" s="103">
        <v>5000</v>
      </c>
      <c r="J148" s="103">
        <v>7401.179</v>
      </c>
      <c r="K148" s="103">
        <v>228690.212</v>
      </c>
      <c r="L148" s="103">
        <v>9659.162</v>
      </c>
      <c r="M148" s="103"/>
      <c r="N148" s="103">
        <v>13253.885</v>
      </c>
      <c r="O148" s="103">
        <v>144873.295</v>
      </c>
      <c r="P148" s="103">
        <v>975906.252</v>
      </c>
      <c r="Q148" s="47" t="s">
        <v>32</v>
      </c>
    </row>
    <row r="149" spans="1:17" s="78" customFormat="1" ht="15" customHeight="1" hidden="1">
      <c r="A149" s="47" t="s">
        <v>87</v>
      </c>
      <c r="B149" s="105">
        <v>55740.57973378</v>
      </c>
      <c r="C149" s="103">
        <v>24289.85444289</v>
      </c>
      <c r="D149" s="103">
        <v>31450.725290889997</v>
      </c>
      <c r="E149" s="103">
        <v>257529.62783536</v>
      </c>
      <c r="F149" s="103">
        <v>246446.19878918998</v>
      </c>
      <c r="G149" s="103">
        <v>225479</v>
      </c>
      <c r="H149" s="103">
        <v>13505</v>
      </c>
      <c r="I149" s="103">
        <v>20000</v>
      </c>
      <c r="J149" s="103">
        <v>6536.719</v>
      </c>
      <c r="K149" s="103">
        <v>242505.00094367</v>
      </c>
      <c r="L149" s="103">
        <v>8600.643919159998</v>
      </c>
      <c r="M149" s="103"/>
      <c r="N149" s="103">
        <v>11042.773774409998</v>
      </c>
      <c r="O149" s="103">
        <v>150346.063224435</v>
      </c>
      <c r="P149" s="103">
        <v>998747.607220005</v>
      </c>
      <c r="Q149" s="47" t="s">
        <v>33</v>
      </c>
    </row>
    <row r="150" spans="1:17" s="78" customFormat="1" ht="15" customHeight="1" hidden="1">
      <c r="A150" s="47" t="s">
        <v>35</v>
      </c>
      <c r="B150" s="105">
        <v>58039.533228919994</v>
      </c>
      <c r="C150" s="103">
        <v>20109.60204028</v>
      </c>
      <c r="D150" s="103">
        <v>37929.931188639996</v>
      </c>
      <c r="E150" s="103">
        <v>275454.56558075</v>
      </c>
      <c r="F150" s="103">
        <v>217180.40932084</v>
      </c>
      <c r="G150" s="103">
        <v>198046</v>
      </c>
      <c r="H150" s="103">
        <v>11280.382787499999</v>
      </c>
      <c r="I150" s="103">
        <v>23200</v>
      </c>
      <c r="J150" s="103">
        <v>6352.393</v>
      </c>
      <c r="K150" s="103">
        <v>252812.36995099997</v>
      </c>
      <c r="L150" s="103">
        <v>7268.74121022</v>
      </c>
      <c r="M150" s="103"/>
      <c r="N150" s="103">
        <v>10668.6659909</v>
      </c>
      <c r="O150" s="103">
        <v>150563.8472387</v>
      </c>
      <c r="P150" s="103">
        <v>1001540.5255213301</v>
      </c>
      <c r="Q150" s="47" t="s">
        <v>35</v>
      </c>
    </row>
    <row r="151" spans="1:17" s="78" customFormat="1" ht="15" customHeight="1" hidden="1">
      <c r="A151" s="47" t="s">
        <v>36</v>
      </c>
      <c r="B151" s="105">
        <v>53661.57998968</v>
      </c>
      <c r="C151" s="103">
        <v>19034.142813579998</v>
      </c>
      <c r="D151" s="103">
        <v>34627.4371761</v>
      </c>
      <c r="E151" s="103">
        <v>304053.44619529</v>
      </c>
      <c r="F151" s="103">
        <v>229591.64500077</v>
      </c>
      <c r="G151" s="103">
        <v>212904</v>
      </c>
      <c r="H151" s="103">
        <v>10037.0148375</v>
      </c>
      <c r="I151" s="103">
        <v>24163</v>
      </c>
      <c r="J151" s="103">
        <v>6601.327</v>
      </c>
      <c r="K151" s="103">
        <v>263880.8550045</v>
      </c>
      <c r="L151" s="103">
        <v>4057.45711071</v>
      </c>
      <c r="M151" s="103"/>
      <c r="N151" s="103">
        <v>13479.71611248</v>
      </c>
      <c r="O151" s="103">
        <v>155687.81199729998</v>
      </c>
      <c r="P151" s="103">
        <v>1055176.8384107298</v>
      </c>
      <c r="Q151" s="47" t="s">
        <v>36</v>
      </c>
    </row>
    <row r="152" spans="1:17" s="78" customFormat="1" ht="15" customHeight="1" hidden="1">
      <c r="A152" s="47" t="s">
        <v>88</v>
      </c>
      <c r="B152" s="105">
        <v>65454.09150725</v>
      </c>
      <c r="C152" s="103">
        <v>40328.70416235</v>
      </c>
      <c r="D152" s="103">
        <v>25125.387344900002</v>
      </c>
      <c r="E152" s="103">
        <v>346445.36714183004</v>
      </c>
      <c r="F152" s="103">
        <v>219322.20755893</v>
      </c>
      <c r="G152" s="103">
        <v>200865</v>
      </c>
      <c r="H152" s="103">
        <v>10951.078837500001</v>
      </c>
      <c r="I152" s="103">
        <v>13000</v>
      </c>
      <c r="J152" s="103">
        <v>8372.764</v>
      </c>
      <c r="K152" s="103">
        <v>260804.68429245002</v>
      </c>
      <c r="L152" s="103">
        <v>7081.59095266</v>
      </c>
      <c r="M152" s="103"/>
      <c r="N152" s="103">
        <v>20238.174368869997</v>
      </c>
      <c r="O152" s="103">
        <v>177565.90860112</v>
      </c>
      <c r="P152" s="103">
        <v>1118284.78842311</v>
      </c>
      <c r="Q152" s="47" t="s">
        <v>37</v>
      </c>
    </row>
    <row r="153" spans="1:17" s="78" customFormat="1" ht="15" customHeight="1" hidden="1">
      <c r="A153" s="47"/>
      <c r="B153" s="105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47"/>
    </row>
    <row r="154" spans="1:17" s="78" customFormat="1" ht="15" customHeight="1" hidden="1">
      <c r="A154" s="65">
        <v>2008</v>
      </c>
      <c r="B154" s="105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65">
        <v>2008</v>
      </c>
    </row>
    <row r="155" spans="1:17" s="78" customFormat="1" ht="15" customHeight="1" hidden="1">
      <c r="A155" s="47" t="s">
        <v>25</v>
      </c>
      <c r="B155" s="105">
        <v>56342.549461680006</v>
      </c>
      <c r="C155" s="103">
        <v>26394.14185</v>
      </c>
      <c r="D155" s="103">
        <v>29948.407611680002</v>
      </c>
      <c r="E155" s="103">
        <v>303928.06296281</v>
      </c>
      <c r="F155" s="103">
        <v>237398.65389241002</v>
      </c>
      <c r="G155" s="103">
        <v>221717.45</v>
      </c>
      <c r="H155" s="103">
        <v>10864.787</v>
      </c>
      <c r="I155" s="103">
        <v>16518</v>
      </c>
      <c r="J155" s="103">
        <v>11062.20080593</v>
      </c>
      <c r="K155" s="103">
        <v>272404.82782834</v>
      </c>
      <c r="L155" s="103">
        <v>11781.25505941</v>
      </c>
      <c r="M155" s="103"/>
      <c r="N155" s="103">
        <v>15733.14360987</v>
      </c>
      <c r="O155" s="103">
        <v>186118.29145848003</v>
      </c>
      <c r="P155" s="103">
        <v>1111286.98507893</v>
      </c>
      <c r="Q155" s="47" t="s">
        <v>25</v>
      </c>
    </row>
    <row r="156" spans="1:17" s="78" customFormat="1" ht="15" customHeight="1" hidden="1">
      <c r="A156" s="47" t="s">
        <v>26</v>
      </c>
      <c r="B156" s="105">
        <v>63930.38931732</v>
      </c>
      <c r="C156" s="103">
        <v>30605.0782411</v>
      </c>
      <c r="D156" s="103">
        <v>33325.31107622</v>
      </c>
      <c r="E156" s="103">
        <v>326581.08695225994</v>
      </c>
      <c r="F156" s="103">
        <v>228562.64899592998</v>
      </c>
      <c r="G156" s="103">
        <v>212729.786</v>
      </c>
      <c r="H156" s="103">
        <v>10192.9838375</v>
      </c>
      <c r="I156" s="103">
        <v>18900</v>
      </c>
      <c r="J156" s="103">
        <v>10589.467560940002</v>
      </c>
      <c r="K156" s="103">
        <v>279648.26780824</v>
      </c>
      <c r="L156" s="103">
        <v>20687.03695266</v>
      </c>
      <c r="M156" s="103"/>
      <c r="N156" s="103">
        <v>9941.460348059998</v>
      </c>
      <c r="O156" s="103">
        <v>184012.4188806</v>
      </c>
      <c r="P156" s="103">
        <v>1142852.77681601</v>
      </c>
      <c r="Q156" s="47" t="s">
        <v>26</v>
      </c>
    </row>
    <row r="157" spans="1:17" s="78" customFormat="1" ht="15" customHeight="1" hidden="1">
      <c r="A157" s="47" t="s">
        <v>135</v>
      </c>
      <c r="B157" s="105">
        <v>78924.75949724001</v>
      </c>
      <c r="C157" s="103">
        <v>34773.62277524</v>
      </c>
      <c r="D157" s="103">
        <v>44151.136721999996</v>
      </c>
      <c r="E157" s="103">
        <v>332188.45931516006</v>
      </c>
      <c r="F157" s="103">
        <v>243156.46532101</v>
      </c>
      <c r="G157" s="103">
        <v>227397.874</v>
      </c>
      <c r="H157" s="103">
        <v>10021.185837500001</v>
      </c>
      <c r="I157" s="103">
        <v>18000</v>
      </c>
      <c r="J157" s="103">
        <v>11035.844</v>
      </c>
      <c r="K157" s="103">
        <v>291142.14262870996</v>
      </c>
      <c r="L157" s="103">
        <v>13141.37751936</v>
      </c>
      <c r="M157" s="103"/>
      <c r="N157" s="103">
        <v>24944.48277615</v>
      </c>
      <c r="O157" s="103">
        <v>199431.75607774002</v>
      </c>
      <c r="P157" s="103">
        <v>1211965.28713537</v>
      </c>
      <c r="Q157" s="47" t="s">
        <v>27</v>
      </c>
    </row>
    <row r="158" spans="1:17" s="78" customFormat="1" ht="15" customHeight="1" hidden="1">
      <c r="A158" s="47" t="s">
        <v>28</v>
      </c>
      <c r="B158" s="105">
        <v>80549.13377662</v>
      </c>
      <c r="C158" s="103">
        <v>34331.21693354</v>
      </c>
      <c r="D158" s="103">
        <v>46217.91684308</v>
      </c>
      <c r="E158" s="103">
        <v>354249.11139901</v>
      </c>
      <c r="F158" s="103">
        <v>229225.5717548</v>
      </c>
      <c r="G158" s="103">
        <v>211969.180682</v>
      </c>
      <c r="H158" s="103">
        <v>9785.533449999999</v>
      </c>
      <c r="I158" s="103">
        <v>23685</v>
      </c>
      <c r="J158" s="103">
        <v>11119.311</v>
      </c>
      <c r="K158" s="103">
        <v>310687.13094963995</v>
      </c>
      <c r="L158" s="103">
        <v>27743.157521150002</v>
      </c>
      <c r="M158" s="103"/>
      <c r="N158" s="103">
        <v>16832.53075155</v>
      </c>
      <c r="O158" s="103">
        <v>190852.89883051996</v>
      </c>
      <c r="P158" s="103">
        <v>1244943.8459832899</v>
      </c>
      <c r="Q158" s="47" t="s">
        <v>28</v>
      </c>
    </row>
    <row r="159" spans="1:17" s="78" customFormat="1" ht="15" customHeight="1" hidden="1">
      <c r="A159" s="47" t="s">
        <v>29</v>
      </c>
      <c r="B159" s="105">
        <v>66949.56646814</v>
      </c>
      <c r="C159" s="103">
        <v>30438.12827866</v>
      </c>
      <c r="D159" s="103">
        <v>36511.43818948001</v>
      </c>
      <c r="E159" s="103">
        <v>336878.96518914995</v>
      </c>
      <c r="F159" s="103">
        <v>234245.63545266003</v>
      </c>
      <c r="G159" s="103">
        <v>217061.262682</v>
      </c>
      <c r="H159" s="103">
        <v>9719.823400000001</v>
      </c>
      <c r="I159" s="103">
        <v>30284</v>
      </c>
      <c r="J159" s="103">
        <v>11343.162</v>
      </c>
      <c r="K159" s="103">
        <v>304229.92329737</v>
      </c>
      <c r="L159" s="103">
        <v>25653.667952660002</v>
      </c>
      <c r="M159" s="103"/>
      <c r="N159" s="103">
        <v>26738.56353647</v>
      </c>
      <c r="O159" s="103">
        <v>194558.36146523</v>
      </c>
      <c r="P159" s="103">
        <v>1230881.84536168</v>
      </c>
      <c r="Q159" s="47" t="s">
        <v>29</v>
      </c>
    </row>
    <row r="160" spans="1:17" s="78" customFormat="1" ht="15" customHeight="1" hidden="1">
      <c r="A160" s="47" t="s">
        <v>86</v>
      </c>
      <c r="B160" s="105">
        <v>85870.60047803</v>
      </c>
      <c r="C160" s="103">
        <v>40167.58310078</v>
      </c>
      <c r="D160" s="103">
        <v>45703.01737725</v>
      </c>
      <c r="E160" s="103">
        <v>350019.8330312</v>
      </c>
      <c r="F160" s="103">
        <v>243881.29199679004</v>
      </c>
      <c r="G160" s="103">
        <v>229015.24268200004</v>
      </c>
      <c r="H160" s="103">
        <v>8735.2674</v>
      </c>
      <c r="I160" s="103">
        <v>38037</v>
      </c>
      <c r="J160" s="103">
        <v>10389.425566330001</v>
      </c>
      <c r="K160" s="103">
        <v>311520.16962658</v>
      </c>
      <c r="L160" s="103">
        <v>17330.65158787</v>
      </c>
      <c r="M160" s="103"/>
      <c r="N160" s="103">
        <v>20747.10254939</v>
      </c>
      <c r="O160" s="103">
        <v>198966.22702380997</v>
      </c>
      <c r="P160" s="103">
        <v>1276762.3018600002</v>
      </c>
      <c r="Q160" s="47" t="s">
        <v>30</v>
      </c>
    </row>
    <row r="161" spans="1:17" s="78" customFormat="1" ht="15" customHeight="1" hidden="1">
      <c r="A161" s="47" t="s">
        <v>31</v>
      </c>
      <c r="B161" s="105">
        <v>98852.22344088</v>
      </c>
      <c r="C161" s="103">
        <v>38884.36154749</v>
      </c>
      <c r="D161" s="103">
        <v>59967.86189339001</v>
      </c>
      <c r="E161" s="103">
        <v>293265.73081296997</v>
      </c>
      <c r="F161" s="103">
        <v>271110.96497718</v>
      </c>
      <c r="G161" s="103">
        <v>251771</v>
      </c>
      <c r="H161" s="103">
        <v>9738.37607071</v>
      </c>
      <c r="I161" s="103">
        <v>41091</v>
      </c>
      <c r="J161" s="103">
        <v>11766.265</v>
      </c>
      <c r="K161" s="103">
        <v>323911.97606139997</v>
      </c>
      <c r="L161" s="103">
        <v>14217.35207721</v>
      </c>
      <c r="M161" s="103"/>
      <c r="N161" s="103">
        <v>18473.03429748</v>
      </c>
      <c r="O161" s="103">
        <v>203020.74443552</v>
      </c>
      <c r="P161" s="103">
        <v>1275709.75315587</v>
      </c>
      <c r="Q161" s="47" t="s">
        <v>31</v>
      </c>
    </row>
    <row r="162" spans="1:17" s="78" customFormat="1" ht="15" customHeight="1" hidden="1">
      <c r="A162" s="47" t="s">
        <v>32</v>
      </c>
      <c r="B162" s="105">
        <v>78705.36339455</v>
      </c>
      <c r="C162" s="103">
        <v>33462.65537335</v>
      </c>
      <c r="D162" s="103">
        <v>45242.70802119999</v>
      </c>
      <c r="E162" s="103">
        <v>306709.77845705993</v>
      </c>
      <c r="F162" s="103">
        <v>272109.61703356</v>
      </c>
      <c r="G162" s="103">
        <v>255150</v>
      </c>
      <c r="H162" s="103">
        <v>10367.85</v>
      </c>
      <c r="I162" s="103">
        <v>37500</v>
      </c>
      <c r="J162" s="103">
        <v>12024.06</v>
      </c>
      <c r="K162" s="103">
        <v>346504.49758907</v>
      </c>
      <c r="L162" s="103">
        <v>25733.09515266</v>
      </c>
      <c r="M162" s="103"/>
      <c r="N162" s="103">
        <v>21273.539753589997</v>
      </c>
      <c r="O162" s="103">
        <v>193718.17168176</v>
      </c>
      <c r="P162" s="103">
        <v>1294278.52813074</v>
      </c>
      <c r="Q162" s="47" t="s">
        <v>32</v>
      </c>
    </row>
    <row r="163" spans="1:17" s="78" customFormat="1" ht="15" customHeight="1" hidden="1">
      <c r="A163" s="47" t="s">
        <v>87</v>
      </c>
      <c r="B163" s="105">
        <v>97357.73428767</v>
      </c>
      <c r="C163" s="103">
        <v>44286.37889496</v>
      </c>
      <c r="D163" s="103">
        <v>53071.35539271</v>
      </c>
      <c r="E163" s="103">
        <v>298037.48111815</v>
      </c>
      <c r="F163" s="99">
        <v>310813.89846513997</v>
      </c>
      <c r="G163" s="103">
        <v>294465</v>
      </c>
      <c r="H163" s="103">
        <v>10345.73</v>
      </c>
      <c r="I163" s="103">
        <v>52000</v>
      </c>
      <c r="J163" s="103">
        <v>12611.931</v>
      </c>
      <c r="K163" s="103">
        <v>365873.37699611</v>
      </c>
      <c r="L163" s="103">
        <v>17504.379912660002</v>
      </c>
      <c r="M163" s="103"/>
      <c r="N163" s="103">
        <v>26772.37450871</v>
      </c>
      <c r="O163" s="103">
        <v>220123.9016808</v>
      </c>
      <c r="P163" s="103">
        <v>1401095.07796924</v>
      </c>
      <c r="Q163" s="47" t="s">
        <v>33</v>
      </c>
    </row>
    <row r="164" spans="1:17" s="78" customFormat="1" ht="15" customHeight="1" hidden="1">
      <c r="A164" s="47" t="s">
        <v>35</v>
      </c>
      <c r="B164" s="105">
        <v>99773.91424733002</v>
      </c>
      <c r="C164" s="103">
        <v>38701.08414392</v>
      </c>
      <c r="D164" s="103">
        <v>61072.83010341001</v>
      </c>
      <c r="E164" s="103">
        <v>357761.56449481007</v>
      </c>
      <c r="F164" s="99">
        <v>307744.73036437</v>
      </c>
      <c r="G164" s="103">
        <v>289028</v>
      </c>
      <c r="H164" s="103">
        <v>10362.85</v>
      </c>
      <c r="I164" s="103">
        <v>67000</v>
      </c>
      <c r="J164" s="103">
        <v>13994.31778733</v>
      </c>
      <c r="K164" s="103">
        <v>379961.38603244995</v>
      </c>
      <c r="L164" s="103">
        <v>23477.987241259994</v>
      </c>
      <c r="M164" s="103"/>
      <c r="N164" s="103">
        <v>18760.26221031</v>
      </c>
      <c r="O164" s="103">
        <v>223929.66100797002</v>
      </c>
      <c r="P164" s="103">
        <v>1492403.82338583</v>
      </c>
      <c r="Q164" s="47" t="s">
        <v>35</v>
      </c>
    </row>
    <row r="165" spans="1:17" s="78" customFormat="1" ht="15" customHeight="1" hidden="1">
      <c r="A165" s="47" t="s">
        <v>36</v>
      </c>
      <c r="B165" s="105">
        <v>87122.82678768001</v>
      </c>
      <c r="C165" s="103">
        <v>35322.995200560006</v>
      </c>
      <c r="D165" s="103">
        <v>51799.831587119996</v>
      </c>
      <c r="E165" s="103">
        <v>347846.69957696</v>
      </c>
      <c r="F165" s="99">
        <v>319886.89406456</v>
      </c>
      <c r="G165" s="103">
        <v>299453.4</v>
      </c>
      <c r="H165" s="103">
        <v>12570.478</v>
      </c>
      <c r="I165" s="103">
        <v>76500</v>
      </c>
      <c r="J165" s="103">
        <v>15831.468924559998</v>
      </c>
      <c r="K165" s="103">
        <v>413771.01585018</v>
      </c>
      <c r="L165" s="103">
        <v>27288.96219821</v>
      </c>
      <c r="M165" s="103"/>
      <c r="N165" s="103">
        <v>24478.29752539</v>
      </c>
      <c r="O165" s="103">
        <v>232935.69737226</v>
      </c>
      <c r="P165" s="103">
        <v>1545661.8622998002</v>
      </c>
      <c r="Q165" s="47" t="s">
        <v>36</v>
      </c>
    </row>
    <row r="166" spans="1:17" s="78" customFormat="1" ht="15" customHeight="1" hidden="1">
      <c r="A166" s="47" t="s">
        <v>88</v>
      </c>
      <c r="B166" s="105">
        <v>93159.89674421001</v>
      </c>
      <c r="C166" s="103">
        <v>42943.23497553</v>
      </c>
      <c r="D166" s="103">
        <v>50216.66176868</v>
      </c>
      <c r="E166" s="103">
        <v>356038.39031378005</v>
      </c>
      <c r="F166" s="99">
        <v>317212.4001386</v>
      </c>
      <c r="G166" s="103">
        <v>299527</v>
      </c>
      <c r="H166" s="103">
        <v>9300.7</v>
      </c>
      <c r="I166" s="103">
        <v>74700</v>
      </c>
      <c r="J166" s="103">
        <v>17277.123</v>
      </c>
      <c r="K166" s="103">
        <v>406426.63325927994</v>
      </c>
      <c r="L166" s="103">
        <v>24395.19846534</v>
      </c>
      <c r="M166" s="103"/>
      <c r="N166" s="103">
        <v>27182.080057889998</v>
      </c>
      <c r="O166" s="103">
        <v>249425.27570121002</v>
      </c>
      <c r="P166" s="103">
        <v>1565816.99768031</v>
      </c>
      <c r="Q166" s="47" t="s">
        <v>37</v>
      </c>
    </row>
    <row r="167" spans="1:17" s="78" customFormat="1" ht="12.75" customHeight="1" hidden="1">
      <c r="A167" s="47"/>
      <c r="B167" s="105"/>
      <c r="C167" s="103"/>
      <c r="D167" s="103"/>
      <c r="E167" s="103"/>
      <c r="F167" s="99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47"/>
    </row>
    <row r="168" spans="1:17" s="78" customFormat="1" ht="15" customHeight="1" hidden="1">
      <c r="A168" s="65">
        <v>2009</v>
      </c>
      <c r="B168" s="105"/>
      <c r="C168" s="103"/>
      <c r="D168" s="103"/>
      <c r="E168" s="103"/>
      <c r="F168" s="99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65">
        <v>2009</v>
      </c>
    </row>
    <row r="169" spans="1:17" s="78" customFormat="1" ht="15" customHeight="1" hidden="1">
      <c r="A169" s="47" t="s">
        <v>25</v>
      </c>
      <c r="B169" s="105">
        <v>68829.70349454001</v>
      </c>
      <c r="C169" s="103">
        <v>31185.55720334</v>
      </c>
      <c r="D169" s="103">
        <v>37644.1462912</v>
      </c>
      <c r="E169" s="103">
        <v>346425.31650069</v>
      </c>
      <c r="F169" s="99">
        <f>'[1]MS'!$CR$16-I169</f>
        <v>323143.57615017996</v>
      </c>
      <c r="G169" s="99">
        <v>304337.85</v>
      </c>
      <c r="H169" s="103">
        <v>7359</v>
      </c>
      <c r="I169" s="103">
        <v>79200</v>
      </c>
      <c r="J169" s="103">
        <v>17613.64746636</v>
      </c>
      <c r="K169" s="103">
        <v>438763.13548095006</v>
      </c>
      <c r="L169" s="103">
        <v>24835.535200860002</v>
      </c>
      <c r="M169" s="103"/>
      <c r="N169" s="103">
        <v>20883.316227339998</v>
      </c>
      <c r="O169" s="103">
        <v>246892.47333115665</v>
      </c>
      <c r="P169" s="103">
        <v>1566586.7038520765</v>
      </c>
      <c r="Q169" s="47" t="s">
        <v>25</v>
      </c>
    </row>
    <row r="170" spans="1:17" s="78" customFormat="1" ht="15" customHeight="1" hidden="1">
      <c r="A170" s="47" t="s">
        <v>26</v>
      </c>
      <c r="B170" s="105">
        <v>85270.72239032</v>
      </c>
      <c r="C170" s="103">
        <v>32454.08327829</v>
      </c>
      <c r="D170" s="103">
        <v>52816.63911202999</v>
      </c>
      <c r="E170" s="103">
        <v>341850.47286907</v>
      </c>
      <c r="F170" s="99">
        <f>'[1]MS'!$CS$16-I170</f>
        <v>324020.91915017995</v>
      </c>
      <c r="G170" s="99">
        <v>304843.1</v>
      </c>
      <c r="H170" s="103">
        <v>8012</v>
      </c>
      <c r="I170" s="103">
        <v>77485.7</v>
      </c>
      <c r="J170" s="103">
        <v>22708.1703054</v>
      </c>
      <c r="K170" s="103">
        <v>461404.96159198</v>
      </c>
      <c r="L170" s="103">
        <v>25505.504719</v>
      </c>
      <c r="M170" s="103"/>
      <c r="N170" s="103">
        <v>25267.390532250003</v>
      </c>
      <c r="O170" s="103">
        <v>259176.45594658007</v>
      </c>
      <c r="P170" s="103">
        <v>1622690.29750478</v>
      </c>
      <c r="Q170" s="47" t="s">
        <v>26</v>
      </c>
    </row>
    <row r="171" spans="1:17" s="78" customFormat="1" ht="15" customHeight="1" hidden="1">
      <c r="A171" s="47" t="s">
        <v>135</v>
      </c>
      <c r="B171" s="105">
        <v>89904.63956756</v>
      </c>
      <c r="C171" s="103">
        <v>38205.46792999</v>
      </c>
      <c r="D171" s="103">
        <v>51699.17163756999</v>
      </c>
      <c r="E171" s="103">
        <v>327218.89463895006</v>
      </c>
      <c r="F171" s="99">
        <f>'[1]MS'!$CT$16-I171</f>
        <v>328963.43551841</v>
      </c>
      <c r="G171" s="99">
        <v>309347.3</v>
      </c>
      <c r="H171" s="103">
        <v>7877</v>
      </c>
      <c r="I171" s="103">
        <v>80985.7</v>
      </c>
      <c r="J171" s="103">
        <v>22170.05847197</v>
      </c>
      <c r="K171" s="103">
        <v>472722.28964820004</v>
      </c>
      <c r="L171" s="103">
        <v>16214.44678416</v>
      </c>
      <c r="M171" s="103"/>
      <c r="N171" s="103">
        <v>21898.145755589998</v>
      </c>
      <c r="O171" s="103">
        <v>267676.50397473</v>
      </c>
      <c r="P171" s="103">
        <v>1627754.11435957</v>
      </c>
      <c r="Q171" s="47" t="s">
        <v>27</v>
      </c>
    </row>
    <row r="172" spans="1:17" s="78" customFormat="1" ht="15" customHeight="1" hidden="1">
      <c r="A172" s="47" t="s">
        <v>28</v>
      </c>
      <c r="B172" s="105">
        <v>91708.58539064998</v>
      </c>
      <c r="C172" s="103">
        <v>43835.625799919995</v>
      </c>
      <c r="D172" s="103">
        <v>47872.959590729995</v>
      </c>
      <c r="E172" s="103">
        <v>356536.0912427</v>
      </c>
      <c r="F172" s="99">
        <f>'[1]MS'!$CU$16-I172</f>
        <v>312223.65495532</v>
      </c>
      <c r="G172" s="103">
        <v>294812.6</v>
      </c>
      <c r="H172" s="103">
        <v>7877</v>
      </c>
      <c r="I172" s="103">
        <v>95985.7</v>
      </c>
      <c r="J172" s="103">
        <v>19958.22270432</v>
      </c>
      <c r="K172" s="103">
        <v>466202.31273348996</v>
      </c>
      <c r="L172" s="103">
        <v>18177.2729206</v>
      </c>
      <c r="M172" s="103"/>
      <c r="N172" s="103">
        <v>23739.133154180003</v>
      </c>
      <c r="O172" s="103">
        <v>294030.7666388913</v>
      </c>
      <c r="P172" s="103">
        <v>1678561.739740151</v>
      </c>
      <c r="Q172" s="47" t="s">
        <v>28</v>
      </c>
    </row>
    <row r="173" spans="1:17" s="78" customFormat="1" ht="17.25" customHeight="1" hidden="1">
      <c r="A173" s="47" t="s">
        <v>29</v>
      </c>
      <c r="B173" s="105">
        <v>99793.37920187</v>
      </c>
      <c r="C173" s="103">
        <v>36840.52425136</v>
      </c>
      <c r="D173" s="103">
        <v>62952.854950509995</v>
      </c>
      <c r="E173" s="103">
        <v>325071.5211210799</v>
      </c>
      <c r="F173" s="99">
        <f>'[1]MS'!$CV$16-I173</f>
        <v>314598.89506565</v>
      </c>
      <c r="G173" s="103">
        <v>294691</v>
      </c>
      <c r="H173" s="103">
        <v>10028</v>
      </c>
      <c r="I173" s="103">
        <v>86674</v>
      </c>
      <c r="J173" s="103">
        <v>21413.51571654</v>
      </c>
      <c r="K173" s="103">
        <v>473374.05150677</v>
      </c>
      <c r="L173" s="103">
        <v>23615.190680720003</v>
      </c>
      <c r="M173" s="103"/>
      <c r="N173" s="103">
        <v>25065.520545070005</v>
      </c>
      <c r="O173" s="103">
        <v>298578.85138156003</v>
      </c>
      <c r="P173" s="103">
        <v>1668184.92521926</v>
      </c>
      <c r="Q173" s="47" t="s">
        <v>29</v>
      </c>
    </row>
    <row r="174" spans="1:17" s="78" customFormat="1" ht="18" customHeight="1" hidden="1">
      <c r="A174" s="47" t="s">
        <v>86</v>
      </c>
      <c r="B174" s="105">
        <v>99568.06516895999</v>
      </c>
      <c r="C174" s="103">
        <v>46909.596707779994</v>
      </c>
      <c r="D174" s="103">
        <v>52658.468461180004</v>
      </c>
      <c r="E174" s="103">
        <v>367271.38758814</v>
      </c>
      <c r="F174" s="99">
        <f>'[1]MS'!$CW$16-I174</f>
        <v>308181.63921456</v>
      </c>
      <c r="G174" s="103">
        <v>289360</v>
      </c>
      <c r="H174" s="103">
        <v>10028</v>
      </c>
      <c r="I174" s="103">
        <v>94359</v>
      </c>
      <c r="J174" s="103">
        <v>23793.324886259998</v>
      </c>
      <c r="K174" s="103">
        <v>486707.84392648004</v>
      </c>
      <c r="L174" s="103">
        <v>17934.66542766</v>
      </c>
      <c r="M174" s="103"/>
      <c r="N174" s="103">
        <v>21744.532077289998</v>
      </c>
      <c r="O174" s="103">
        <v>290871.49242120003</v>
      </c>
      <c r="P174" s="103">
        <v>1710431.9507105497</v>
      </c>
      <c r="Q174" s="47" t="s">
        <v>30</v>
      </c>
    </row>
    <row r="175" spans="1:17" s="78" customFormat="1" ht="18" customHeight="1" hidden="1">
      <c r="A175" s="47" t="s">
        <v>31</v>
      </c>
      <c r="B175" s="105">
        <f aca="true" t="shared" si="17" ref="B175:B180">C175+D175</f>
        <v>126598</v>
      </c>
      <c r="C175" s="103">
        <v>42192</v>
      </c>
      <c r="D175" s="103">
        <v>84406</v>
      </c>
      <c r="E175" s="103">
        <v>376941</v>
      </c>
      <c r="F175" s="99">
        <f>'[3]DMB'!$CX$17-I175</f>
        <v>304192.04622966</v>
      </c>
      <c r="G175" s="103">
        <v>293780</v>
      </c>
      <c r="H175" s="103">
        <v>0</v>
      </c>
      <c r="I175" s="103">
        <v>101859</v>
      </c>
      <c r="J175" s="103">
        <v>24165</v>
      </c>
      <c r="K175" s="103">
        <v>499323</v>
      </c>
      <c r="L175" s="103">
        <v>29211</v>
      </c>
      <c r="M175" s="103"/>
      <c r="N175" s="103">
        <v>32893</v>
      </c>
      <c r="O175" s="103">
        <v>285564</v>
      </c>
      <c r="P175" s="103">
        <v>1780747</v>
      </c>
      <c r="Q175" s="47" t="s">
        <v>31</v>
      </c>
    </row>
    <row r="176" spans="1:17" s="78" customFormat="1" ht="18" customHeight="1" hidden="1">
      <c r="A176" s="47" t="s">
        <v>32</v>
      </c>
      <c r="B176" s="105">
        <f t="shared" si="17"/>
        <v>106442</v>
      </c>
      <c r="C176" s="103">
        <v>45105</v>
      </c>
      <c r="D176" s="103">
        <v>61337</v>
      </c>
      <c r="E176" s="103">
        <v>411260</v>
      </c>
      <c r="F176" s="99">
        <f>'[3]DMB'!$CY$17-I176</f>
        <v>323848.62209648</v>
      </c>
      <c r="G176" s="103">
        <v>313111</v>
      </c>
      <c r="H176" s="103">
        <v>3</v>
      </c>
      <c r="I176" s="103">
        <v>110435</v>
      </c>
      <c r="J176" s="103">
        <v>23622</v>
      </c>
      <c r="K176" s="103">
        <v>521644</v>
      </c>
      <c r="L176" s="103">
        <v>16562</v>
      </c>
      <c r="M176" s="103"/>
      <c r="N176" s="103">
        <v>24802</v>
      </c>
      <c r="O176" s="103">
        <v>279492</v>
      </c>
      <c r="P176" s="103">
        <v>1818108</v>
      </c>
      <c r="Q176" s="47" t="s">
        <v>32</v>
      </c>
    </row>
    <row r="177" spans="1:17" s="78" customFormat="1" ht="18" customHeight="1" hidden="1">
      <c r="A177" s="47" t="s">
        <v>87</v>
      </c>
      <c r="B177" s="105">
        <f t="shared" si="17"/>
        <v>118539.49179801873</v>
      </c>
      <c r="C177" s="103">
        <v>60796.32374986872</v>
      </c>
      <c r="D177" s="103">
        <v>57743.16804815001</v>
      </c>
      <c r="E177" s="103">
        <v>407085.05662842124</v>
      </c>
      <c r="F177" s="99">
        <f>'[3]DMB'!$CZ$17-I177</f>
        <v>319242.67812456</v>
      </c>
      <c r="G177" s="103">
        <v>308130</v>
      </c>
      <c r="H177" s="103">
        <v>3</v>
      </c>
      <c r="I177" s="103">
        <v>114000</v>
      </c>
      <c r="J177" s="103">
        <v>26712.48516325</v>
      </c>
      <c r="K177" s="103">
        <v>546948.80181993</v>
      </c>
      <c r="L177" s="103">
        <v>17961.375095490002</v>
      </c>
      <c r="M177" s="103"/>
      <c r="N177" s="103">
        <v>32628.899160719997</v>
      </c>
      <c r="O177" s="103">
        <v>302814.7357777401</v>
      </c>
      <c r="P177" s="103">
        <v>1885933.52356813</v>
      </c>
      <c r="Q177" s="47" t="s">
        <v>33</v>
      </c>
    </row>
    <row r="178" spans="1:17" s="78" customFormat="1" ht="18" customHeight="1" hidden="1">
      <c r="A178" s="47" t="s">
        <v>35</v>
      </c>
      <c r="B178" s="105">
        <f t="shared" si="17"/>
        <v>114804.86199719</v>
      </c>
      <c r="C178" s="103">
        <v>48291.08444277001</v>
      </c>
      <c r="D178" s="103">
        <v>66513.77755442</v>
      </c>
      <c r="E178" s="103">
        <v>485125.573837768</v>
      </c>
      <c r="F178" s="99">
        <f>'[3]DMB'!$DA$17-I178</f>
        <v>308281.15056385007</v>
      </c>
      <c r="G178" s="103">
        <v>294393.38221394</v>
      </c>
      <c r="H178" s="103">
        <v>3.35</v>
      </c>
      <c r="I178" s="103">
        <v>113000</v>
      </c>
      <c r="J178" s="103">
        <v>29029.10419886</v>
      </c>
      <c r="K178" s="103">
        <v>555478.91980608</v>
      </c>
      <c r="L178" s="103">
        <v>19457.77627701</v>
      </c>
      <c r="M178" s="103"/>
      <c r="N178" s="103">
        <v>26540.61015449</v>
      </c>
      <c r="O178" s="103">
        <v>311335.58849648753</v>
      </c>
      <c r="P178" s="103">
        <v>1963053.5853317357</v>
      </c>
      <c r="Q178" s="47" t="s">
        <v>35</v>
      </c>
    </row>
    <row r="179" spans="1:17" s="78" customFormat="1" ht="18" customHeight="1" hidden="1">
      <c r="A179" s="47" t="s">
        <v>36</v>
      </c>
      <c r="B179" s="105">
        <f t="shared" si="17"/>
        <v>97485.65895778</v>
      </c>
      <c r="C179" s="103">
        <v>43370.197551239995</v>
      </c>
      <c r="D179" s="103">
        <v>54115.46140654001</v>
      </c>
      <c r="E179" s="103">
        <v>541853.3729721499</v>
      </c>
      <c r="F179" s="99">
        <f>'[3]DMB'!$DB$17-I179</f>
        <v>272709.1644333</v>
      </c>
      <c r="G179" s="103">
        <v>258949.09</v>
      </c>
      <c r="H179" s="103">
        <v>0</v>
      </c>
      <c r="I179" s="103">
        <v>118800</v>
      </c>
      <c r="J179" s="103">
        <v>31891.44573728</v>
      </c>
      <c r="K179" s="103">
        <v>584120.07807881</v>
      </c>
      <c r="L179" s="103">
        <v>17707.835420170002</v>
      </c>
      <c r="M179" s="103"/>
      <c r="N179" s="103">
        <v>29211.847841040002</v>
      </c>
      <c r="O179" s="103">
        <v>320539.69719679863</v>
      </c>
      <c r="P179" s="103">
        <v>2014319.1006373283</v>
      </c>
      <c r="Q179" s="47" t="s">
        <v>36</v>
      </c>
    </row>
    <row r="180" spans="1:17" s="78" customFormat="1" ht="18" customHeight="1" hidden="1">
      <c r="A180" s="47" t="s">
        <v>88</v>
      </c>
      <c r="B180" s="105">
        <f t="shared" si="17"/>
        <v>124778.08835652999</v>
      </c>
      <c r="C180" s="103">
        <v>65516.954343679994</v>
      </c>
      <c r="D180" s="103">
        <v>59261.134012849994</v>
      </c>
      <c r="E180" s="103">
        <v>542263.406465488</v>
      </c>
      <c r="F180" s="99">
        <f>'[3]DMB'!$DC$17-I180</f>
        <v>263412.04667938</v>
      </c>
      <c r="G180" s="103">
        <v>248794</v>
      </c>
      <c r="H180" s="103">
        <v>0</v>
      </c>
      <c r="I180" s="103">
        <v>97358.5</v>
      </c>
      <c r="J180" s="103">
        <v>31295.09107609</v>
      </c>
      <c r="K180" s="103">
        <v>594072.6899451421</v>
      </c>
      <c r="L180" s="103">
        <v>30461.87139033</v>
      </c>
      <c r="M180" s="103"/>
      <c r="N180" s="103">
        <v>38146.97905636</v>
      </c>
      <c r="O180" s="103">
        <v>304293.97088992916</v>
      </c>
      <c r="P180" s="103">
        <v>2026082.6438592495</v>
      </c>
      <c r="Q180" s="47" t="s">
        <v>37</v>
      </c>
    </row>
    <row r="181" spans="1:17" s="78" customFormat="1" ht="18" customHeight="1">
      <c r="A181" s="47"/>
      <c r="B181" s="105"/>
      <c r="C181" s="103"/>
      <c r="D181" s="103"/>
      <c r="E181" s="103"/>
      <c r="F181" s="99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47"/>
    </row>
    <row r="182" spans="1:17" s="78" customFormat="1" ht="18" customHeight="1">
      <c r="A182" s="43">
        <v>2010</v>
      </c>
      <c r="B182" s="105"/>
      <c r="C182" s="103"/>
      <c r="D182" s="103"/>
      <c r="E182" s="103"/>
      <c r="F182" s="99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43">
        <v>2010</v>
      </c>
    </row>
    <row r="183" spans="1:17" s="78" customFormat="1" ht="18" customHeight="1">
      <c r="A183" s="64" t="s">
        <v>25</v>
      </c>
      <c r="B183" s="105">
        <f aca="true" t="shared" si="18" ref="B183:B191">C183+D183</f>
        <v>109124</v>
      </c>
      <c r="C183" s="103">
        <v>41794</v>
      </c>
      <c r="D183" s="103">
        <v>67330</v>
      </c>
      <c r="E183" s="103">
        <v>541511</v>
      </c>
      <c r="F183" s="99">
        <f>'[3]DMB'!$DD$17-I183</f>
        <v>257342.52070836996</v>
      </c>
      <c r="G183" s="99">
        <v>243781</v>
      </c>
      <c r="H183" s="103">
        <v>0</v>
      </c>
      <c r="I183" s="100">
        <v>98358.5</v>
      </c>
      <c r="J183" s="103">
        <v>32001</v>
      </c>
      <c r="K183" s="103">
        <v>611069</v>
      </c>
      <c r="L183" s="103">
        <v>18964</v>
      </c>
      <c r="M183" s="103"/>
      <c r="N183" s="103">
        <v>50115</v>
      </c>
      <c r="O183" s="103">
        <v>288222</v>
      </c>
      <c r="P183" s="103">
        <v>2006708</v>
      </c>
      <c r="Q183" s="64" t="s">
        <v>25</v>
      </c>
    </row>
    <row r="184" spans="1:17" s="78" customFormat="1" ht="18" customHeight="1">
      <c r="A184" s="64" t="s">
        <v>26</v>
      </c>
      <c r="B184" s="105">
        <f t="shared" si="18"/>
        <v>117504</v>
      </c>
      <c r="C184" s="103">
        <v>40563</v>
      </c>
      <c r="D184" s="103">
        <v>76941</v>
      </c>
      <c r="E184" s="103">
        <v>531735</v>
      </c>
      <c r="F184" s="99">
        <f>'[3]DMB'!$DE$17-I184</f>
        <v>240877.83792336995</v>
      </c>
      <c r="G184" s="99">
        <v>226511</v>
      </c>
      <c r="H184" s="103">
        <v>0</v>
      </c>
      <c r="I184" s="100">
        <v>108558.5</v>
      </c>
      <c r="J184" s="103">
        <v>36033</v>
      </c>
      <c r="K184" s="103">
        <v>617787</v>
      </c>
      <c r="L184" s="103">
        <v>26343</v>
      </c>
      <c r="M184" s="103"/>
      <c r="N184" s="103">
        <v>35209</v>
      </c>
      <c r="O184" s="103">
        <v>296516</v>
      </c>
      <c r="P184" s="103">
        <v>2010562</v>
      </c>
      <c r="Q184" s="64" t="s">
        <v>26</v>
      </c>
    </row>
    <row r="185" spans="1:17" s="78" customFormat="1" ht="15" customHeight="1">
      <c r="A185" s="64" t="s">
        <v>27</v>
      </c>
      <c r="B185" s="105">
        <f t="shared" si="18"/>
        <v>112128</v>
      </c>
      <c r="C185" s="103">
        <v>41855</v>
      </c>
      <c r="D185" s="103">
        <v>70273</v>
      </c>
      <c r="E185" s="103">
        <v>548872</v>
      </c>
      <c r="F185" s="99">
        <f>'[3]DMB'!$DF$17-I185</f>
        <v>232378.63964626</v>
      </c>
      <c r="G185" s="99">
        <v>218288</v>
      </c>
      <c r="H185" s="103">
        <v>0</v>
      </c>
      <c r="I185" s="100">
        <v>113884.95</v>
      </c>
      <c r="J185" s="103">
        <v>34805</v>
      </c>
      <c r="K185" s="103">
        <v>630887</v>
      </c>
      <c r="L185" s="103">
        <v>29125</v>
      </c>
      <c r="M185" s="103"/>
      <c r="N185" s="103">
        <v>37808</v>
      </c>
      <c r="O185" s="103">
        <v>305245</v>
      </c>
      <c r="P185" s="103">
        <v>2045135</v>
      </c>
      <c r="Q185" s="64" t="s">
        <v>27</v>
      </c>
    </row>
    <row r="186" spans="1:17" s="78" customFormat="1" ht="15" customHeight="1">
      <c r="A186" s="64" t="s">
        <v>28</v>
      </c>
      <c r="B186" s="105">
        <f t="shared" si="18"/>
        <v>142608</v>
      </c>
      <c r="C186" s="103">
        <v>44062</v>
      </c>
      <c r="D186" s="103">
        <v>98546</v>
      </c>
      <c r="E186" s="103">
        <v>523789</v>
      </c>
      <c r="F186" s="99">
        <v>233517.31221098994</v>
      </c>
      <c r="G186" s="99">
        <v>219683.24485882</v>
      </c>
      <c r="H186" s="103">
        <v>0</v>
      </c>
      <c r="I186" s="100">
        <v>110884.95</v>
      </c>
      <c r="J186" s="103">
        <v>36470</v>
      </c>
      <c r="K186" s="103">
        <v>651889</v>
      </c>
      <c r="L186" s="103">
        <v>31447</v>
      </c>
      <c r="M186" s="103"/>
      <c r="N186" s="103">
        <v>43973</v>
      </c>
      <c r="O186" s="103">
        <v>310159</v>
      </c>
      <c r="P186" s="103">
        <v>2084739</v>
      </c>
      <c r="Q186" s="64" t="s">
        <v>28</v>
      </c>
    </row>
    <row r="187" spans="1:17" s="78" customFormat="1" ht="15" customHeight="1">
      <c r="A187" s="64" t="s">
        <v>29</v>
      </c>
      <c r="B187" s="105">
        <f t="shared" si="18"/>
        <v>172192</v>
      </c>
      <c r="C187" s="103">
        <v>70193</v>
      </c>
      <c r="D187" s="103">
        <v>101999</v>
      </c>
      <c r="E187" s="103">
        <v>511057</v>
      </c>
      <c r="F187" s="99">
        <v>253669.44125630998</v>
      </c>
      <c r="G187" s="99">
        <v>241938.40790413998</v>
      </c>
      <c r="H187" s="103">
        <v>0</v>
      </c>
      <c r="I187" s="100">
        <v>108678.75</v>
      </c>
      <c r="J187" s="103">
        <v>39483</v>
      </c>
      <c r="K187" s="103">
        <v>661334</v>
      </c>
      <c r="L187" s="103">
        <v>30897</v>
      </c>
      <c r="M187" s="103"/>
      <c r="N187" s="103">
        <v>24025</v>
      </c>
      <c r="O187" s="103">
        <v>304501</v>
      </c>
      <c r="P187" s="103">
        <v>2108043</v>
      </c>
      <c r="Q187" s="64" t="s">
        <v>29</v>
      </c>
    </row>
    <row r="188" spans="1:17" s="78" customFormat="1" ht="15" customHeight="1">
      <c r="A188" s="64" t="s">
        <v>30</v>
      </c>
      <c r="B188" s="105">
        <f t="shared" si="18"/>
        <v>141762</v>
      </c>
      <c r="C188" s="103">
        <v>56799</v>
      </c>
      <c r="D188" s="103">
        <v>84963</v>
      </c>
      <c r="E188" s="103">
        <v>522442</v>
      </c>
      <c r="F188" s="99">
        <v>305486.62488163996</v>
      </c>
      <c r="G188" s="99">
        <v>288895.99811487994</v>
      </c>
      <c r="H188" s="103">
        <v>0</v>
      </c>
      <c r="I188" s="133">
        <v>102664.45</v>
      </c>
      <c r="J188" s="103">
        <v>40510</v>
      </c>
      <c r="K188" s="103">
        <v>683709</v>
      </c>
      <c r="L188" s="103">
        <v>36244</v>
      </c>
      <c r="M188" s="103">
        <v>21195.312</v>
      </c>
      <c r="N188" s="103">
        <v>39446</v>
      </c>
      <c r="O188" s="103">
        <v>284681</v>
      </c>
      <c r="P188" s="103">
        <v>2178140</v>
      </c>
      <c r="Q188" s="64" t="s">
        <v>30</v>
      </c>
    </row>
    <row r="189" spans="1:17" s="78" customFormat="1" ht="15" customHeight="1">
      <c r="A189" s="47" t="s">
        <v>31</v>
      </c>
      <c r="B189" s="105">
        <f t="shared" si="18"/>
        <v>143601</v>
      </c>
      <c r="C189" s="103">
        <v>45390</v>
      </c>
      <c r="D189" s="103">
        <v>98211</v>
      </c>
      <c r="E189" s="103">
        <v>505013</v>
      </c>
      <c r="F189" s="99">
        <v>312731.91252534994</v>
      </c>
      <c r="G189" s="99">
        <v>297731.55</v>
      </c>
      <c r="H189" s="103">
        <v>0</v>
      </c>
      <c r="I189" s="133">
        <v>126499.45</v>
      </c>
      <c r="J189" s="103">
        <v>45660</v>
      </c>
      <c r="K189" s="103">
        <v>683883</v>
      </c>
      <c r="L189" s="103">
        <v>38463</v>
      </c>
      <c r="M189" s="103">
        <v>0</v>
      </c>
      <c r="N189" s="103">
        <v>68778</v>
      </c>
      <c r="O189" s="103">
        <v>282712</v>
      </c>
      <c r="P189" s="103">
        <v>2207342</v>
      </c>
      <c r="Q189" s="47" t="s">
        <v>31</v>
      </c>
    </row>
    <row r="190" spans="1:17" s="78" customFormat="1" ht="15" customHeight="1">
      <c r="A190" s="47" t="s">
        <v>32</v>
      </c>
      <c r="B190" s="105">
        <f t="shared" si="18"/>
        <v>148420</v>
      </c>
      <c r="C190" s="103">
        <v>56293</v>
      </c>
      <c r="D190" s="103">
        <v>92127</v>
      </c>
      <c r="E190" s="103">
        <v>521787</v>
      </c>
      <c r="F190" s="99">
        <v>319376.81537481</v>
      </c>
      <c r="G190" s="99">
        <v>307927.15</v>
      </c>
      <c r="H190" s="103">
        <v>0</v>
      </c>
      <c r="I190" s="133">
        <v>153422.65</v>
      </c>
      <c r="J190" s="103">
        <v>45544</v>
      </c>
      <c r="K190" s="103">
        <v>709357</v>
      </c>
      <c r="L190" s="103">
        <v>36580</v>
      </c>
      <c r="M190" s="103">
        <v>0</v>
      </c>
      <c r="N190" s="103">
        <v>60619</v>
      </c>
      <c r="O190" s="103">
        <v>283598</v>
      </c>
      <c r="P190" s="103">
        <v>2278704</v>
      </c>
      <c r="Q190" s="47" t="s">
        <v>32</v>
      </c>
    </row>
    <row r="191" spans="1:17" s="78" customFormat="1" ht="15" customHeight="1">
      <c r="A191" s="47" t="s">
        <v>33</v>
      </c>
      <c r="B191" s="105">
        <f t="shared" si="18"/>
        <v>131835</v>
      </c>
      <c r="C191" s="103">
        <v>57376</v>
      </c>
      <c r="D191" s="103">
        <v>74459</v>
      </c>
      <c r="E191" s="103">
        <v>533767</v>
      </c>
      <c r="F191" s="99">
        <v>350001.89222299</v>
      </c>
      <c r="G191" s="99">
        <v>328784</v>
      </c>
      <c r="H191" s="103">
        <v>0</v>
      </c>
      <c r="I191" s="133">
        <v>113893</v>
      </c>
      <c r="J191" s="103">
        <v>41761</v>
      </c>
      <c r="K191" s="103">
        <v>737060</v>
      </c>
      <c r="L191" s="103">
        <v>26028</v>
      </c>
      <c r="M191" s="103">
        <v>0</v>
      </c>
      <c r="N191" s="103">
        <v>31950</v>
      </c>
      <c r="O191" s="103">
        <v>277886</v>
      </c>
      <c r="P191" s="103">
        <v>2244182</v>
      </c>
      <c r="Q191" s="47" t="s">
        <v>33</v>
      </c>
    </row>
    <row r="192" spans="1:17" s="78" customFormat="1" ht="15" customHeight="1">
      <c r="A192" s="98" t="s">
        <v>35</v>
      </c>
      <c r="B192" s="105">
        <v>154466</v>
      </c>
      <c r="C192" s="103">
        <v>45792</v>
      </c>
      <c r="D192" s="103">
        <v>108673.48665358001</v>
      </c>
      <c r="E192" s="103">
        <v>558598.4121095535</v>
      </c>
      <c r="F192" s="99">
        <f>'[5]DMB'!$DQ$17-I192</f>
        <v>337313.7448723699</v>
      </c>
      <c r="G192" s="99">
        <v>312271</v>
      </c>
      <c r="H192" s="103">
        <v>0</v>
      </c>
      <c r="I192" s="133">
        <v>129209</v>
      </c>
      <c r="J192" s="103">
        <v>44652</v>
      </c>
      <c r="K192" s="103">
        <v>774802</v>
      </c>
      <c r="L192" s="103">
        <v>25553</v>
      </c>
      <c r="M192" s="103">
        <v>0</v>
      </c>
      <c r="N192" s="103">
        <v>50427</v>
      </c>
      <c r="O192" s="103">
        <v>285547</v>
      </c>
      <c r="P192" s="103">
        <v>2360568</v>
      </c>
      <c r="Q192" s="47" t="s">
        <v>35</v>
      </c>
    </row>
    <row r="193" spans="1:17" s="78" customFormat="1" ht="15" customHeight="1">
      <c r="A193" s="64" t="s">
        <v>36</v>
      </c>
      <c r="B193" s="105">
        <v>179007</v>
      </c>
      <c r="C193" s="103">
        <v>59764</v>
      </c>
      <c r="D193" s="103">
        <v>119242.86411027002</v>
      </c>
      <c r="E193" s="103">
        <v>581872.1638739058</v>
      </c>
      <c r="F193" s="99">
        <f>'[5]DMB'!$DR$17-I193</f>
        <v>318698.38528262003</v>
      </c>
      <c r="G193" s="99">
        <v>297346</v>
      </c>
      <c r="H193" s="103">
        <v>0</v>
      </c>
      <c r="I193" s="100">
        <v>144135</v>
      </c>
      <c r="J193" s="103">
        <v>45252</v>
      </c>
      <c r="K193" s="103">
        <v>774752</v>
      </c>
      <c r="L193" s="103">
        <v>27077</v>
      </c>
      <c r="M193" s="103">
        <v>0</v>
      </c>
      <c r="N193" s="103">
        <v>42840</v>
      </c>
      <c r="O193" s="103">
        <v>278264</v>
      </c>
      <c r="P193" s="103">
        <v>2391897</v>
      </c>
      <c r="Q193" s="47" t="s">
        <v>36</v>
      </c>
    </row>
    <row r="194" spans="1:21" s="132" customFormat="1" ht="15" customHeight="1">
      <c r="A194" s="98" t="s">
        <v>37</v>
      </c>
      <c r="B194" s="105">
        <v>168846</v>
      </c>
      <c r="C194" s="103">
        <v>74250</v>
      </c>
      <c r="D194" s="103">
        <v>94597</v>
      </c>
      <c r="E194" s="103">
        <v>703456</v>
      </c>
      <c r="F194" s="99">
        <f>'[5]DMB'!$DS$17-I194</f>
        <v>326521.0370029001</v>
      </c>
      <c r="G194" s="103">
        <v>308375</v>
      </c>
      <c r="H194" s="103">
        <v>0</v>
      </c>
      <c r="I194" s="103">
        <v>149851</v>
      </c>
      <c r="J194" s="103">
        <v>54012</v>
      </c>
      <c r="K194" s="103">
        <v>783523</v>
      </c>
      <c r="L194" s="103">
        <v>21964</v>
      </c>
      <c r="M194" s="103">
        <v>0</v>
      </c>
      <c r="N194" s="103">
        <v>41594</v>
      </c>
      <c r="O194" s="103">
        <v>284597</v>
      </c>
      <c r="P194" s="103">
        <v>2534363</v>
      </c>
      <c r="Q194" s="47" t="s">
        <v>37</v>
      </c>
      <c r="S194" s="78"/>
      <c r="U194" s="78"/>
    </row>
    <row r="195" spans="6:17" s="106" customFormat="1" ht="12.75" customHeight="1">
      <c r="F195" s="99"/>
      <c r="G195" s="103"/>
      <c r="H195" s="103"/>
      <c r="I195" s="103"/>
      <c r="Q195" s="100"/>
    </row>
    <row r="196" spans="6:17" s="106" customFormat="1" ht="12.75" customHeight="1">
      <c r="F196" s="99"/>
      <c r="G196" s="103"/>
      <c r="Q196" s="100"/>
    </row>
    <row r="197" spans="1:20" s="106" customFormat="1" ht="12.75">
      <c r="A197" s="43">
        <v>2011</v>
      </c>
      <c r="B197" s="105"/>
      <c r="C197" s="103"/>
      <c r="D197" s="103"/>
      <c r="E197" s="103"/>
      <c r="F197" s="99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43">
        <v>2011</v>
      </c>
      <c r="R197" s="103"/>
      <c r="S197" s="103"/>
      <c r="T197" s="103"/>
    </row>
    <row r="198" spans="1:17" s="106" customFormat="1" ht="12.75" customHeight="1">
      <c r="A198" s="64" t="s">
        <v>25</v>
      </c>
      <c r="B198" s="105">
        <f aca="true" t="shared" si="19" ref="B198:B205">C198+D198</f>
        <v>146751.34176450997</v>
      </c>
      <c r="C198" s="103">
        <v>57927.75901634999</v>
      </c>
      <c r="D198" s="103">
        <v>88823.58274815998</v>
      </c>
      <c r="E198" s="103">
        <v>663794.5377814292</v>
      </c>
      <c r="F198" s="99">
        <f>488346-I198</f>
        <v>352467.3</v>
      </c>
      <c r="G198" s="99">
        <v>328767.97783547995</v>
      </c>
      <c r="H198" s="103">
        <v>0</v>
      </c>
      <c r="I198" s="100">
        <v>135878.7</v>
      </c>
      <c r="J198" s="103">
        <v>48008.94164373</v>
      </c>
      <c r="K198" s="103">
        <v>804896.7069056001</v>
      </c>
      <c r="L198" s="103">
        <v>28457.77822457</v>
      </c>
      <c r="M198" s="103">
        <v>0</v>
      </c>
      <c r="N198" s="103">
        <v>45072.0756925288</v>
      </c>
      <c r="O198" s="103">
        <v>304063.4777706178</v>
      </c>
      <c r="P198" s="103">
        <v>2529390.900505366</v>
      </c>
      <c r="Q198" s="64" t="s">
        <v>25</v>
      </c>
    </row>
    <row r="199" spans="1:17" s="106" customFormat="1" ht="12.75" customHeight="1">
      <c r="A199" s="64" t="s">
        <v>26</v>
      </c>
      <c r="B199" s="105">
        <f t="shared" si="19"/>
        <v>154646.13454534</v>
      </c>
      <c r="C199" s="103">
        <v>55418.95397271</v>
      </c>
      <c r="D199" s="103">
        <v>99227.18057263001</v>
      </c>
      <c r="E199" s="103">
        <v>742367.9426298658</v>
      </c>
      <c r="F199" s="99">
        <f>468808-I199</f>
        <v>341863.85</v>
      </c>
      <c r="G199" s="99">
        <v>314313.09462711005</v>
      </c>
      <c r="H199" s="103">
        <v>0</v>
      </c>
      <c r="I199" s="100">
        <v>126944.15000000001</v>
      </c>
      <c r="J199" s="103">
        <v>46061.122346150005</v>
      </c>
      <c r="K199" s="103">
        <v>821390.1743763948</v>
      </c>
      <c r="L199" s="103">
        <v>22334.531250609998</v>
      </c>
      <c r="M199" s="103">
        <v>51295.995200000005</v>
      </c>
      <c r="N199" s="103">
        <v>46504.951644155</v>
      </c>
      <c r="O199" s="103">
        <v>300285.0509726711</v>
      </c>
      <c r="P199" s="103">
        <v>2653694.397108327</v>
      </c>
      <c r="Q199" s="64" t="s">
        <v>26</v>
      </c>
    </row>
    <row r="200" spans="1:17" s="106" customFormat="1" ht="12.75" customHeight="1">
      <c r="A200" s="64" t="s">
        <v>27</v>
      </c>
      <c r="B200" s="105">
        <f t="shared" si="19"/>
        <v>128301.88535709001</v>
      </c>
      <c r="C200" s="103">
        <v>58466.61014982001</v>
      </c>
      <c r="D200" s="103">
        <v>69835.27520727</v>
      </c>
      <c r="E200" s="103">
        <v>797413.9832375149</v>
      </c>
      <c r="F200" s="99">
        <f>482844-I200</f>
        <v>357118.8</v>
      </c>
      <c r="G200" s="99">
        <v>333372.1458973999</v>
      </c>
      <c r="H200" s="103">
        <v>557</v>
      </c>
      <c r="I200" s="100">
        <v>125725.20000000001</v>
      </c>
      <c r="J200" s="103">
        <v>41942.27804261</v>
      </c>
      <c r="K200" s="103">
        <v>860585.304778817</v>
      </c>
      <c r="L200" s="103">
        <v>25093.433332430002</v>
      </c>
      <c r="M200" s="103">
        <v>39402.8291024</v>
      </c>
      <c r="N200" s="103">
        <v>71711.71282698521</v>
      </c>
      <c r="O200" s="103">
        <v>311494.9440440335</v>
      </c>
      <c r="P200" s="103">
        <v>2758790.5446488904</v>
      </c>
      <c r="Q200" s="64" t="s">
        <v>27</v>
      </c>
    </row>
    <row r="201" spans="1:17" s="106" customFormat="1" ht="12.75" customHeight="1">
      <c r="A201" s="64" t="s">
        <v>28</v>
      </c>
      <c r="B201" s="105">
        <f t="shared" si="19"/>
        <v>159716.13036901</v>
      </c>
      <c r="C201" s="103">
        <v>72598.626156</v>
      </c>
      <c r="D201" s="103">
        <v>87117.50421301</v>
      </c>
      <c r="E201" s="103">
        <v>857537.082440225</v>
      </c>
      <c r="F201" s="99">
        <f>587152-I201</f>
        <v>453416</v>
      </c>
      <c r="G201" s="99">
        <v>372035.25843206</v>
      </c>
      <c r="H201" s="103">
        <v>14948.35</v>
      </c>
      <c r="I201" s="100">
        <v>133736</v>
      </c>
      <c r="J201" s="103">
        <v>40423.50098793</v>
      </c>
      <c r="K201" s="103">
        <v>866346.4054293999</v>
      </c>
      <c r="L201" s="103">
        <v>28045.55891071</v>
      </c>
      <c r="M201" s="103">
        <v>10070.229329999998</v>
      </c>
      <c r="N201" s="103">
        <v>54820.617759712906</v>
      </c>
      <c r="O201" s="103">
        <v>297053.41329690686</v>
      </c>
      <c r="P201" s="103">
        <v>2901164.8380439244</v>
      </c>
      <c r="Q201" s="64" t="s">
        <v>28</v>
      </c>
    </row>
    <row r="202" spans="1:17" s="106" customFormat="1" ht="12.75">
      <c r="A202" s="64" t="s">
        <v>29</v>
      </c>
      <c r="B202" s="105">
        <f t="shared" si="19"/>
        <v>168307</v>
      </c>
      <c r="C202" s="103">
        <v>69368</v>
      </c>
      <c r="D202" s="103">
        <v>98939</v>
      </c>
      <c r="E202" s="103">
        <v>807240</v>
      </c>
      <c r="F202" s="99">
        <f>572828-I202</f>
        <v>451987</v>
      </c>
      <c r="G202" s="99">
        <v>373472</v>
      </c>
      <c r="H202" s="103">
        <v>14948.35</v>
      </c>
      <c r="I202" s="100">
        <v>120841</v>
      </c>
      <c r="J202" s="103">
        <v>40421</v>
      </c>
      <c r="K202" s="103">
        <v>856885</v>
      </c>
      <c r="L202" s="103">
        <v>26301</v>
      </c>
      <c r="M202" s="103">
        <v>3500</v>
      </c>
      <c r="N202" s="103">
        <v>72958</v>
      </c>
      <c r="O202" s="103">
        <v>317682</v>
      </c>
      <c r="P202" s="103">
        <v>2866121</v>
      </c>
      <c r="Q202" s="64" t="s">
        <v>29</v>
      </c>
    </row>
    <row r="203" spans="1:17" s="106" customFormat="1" ht="12.75">
      <c r="A203" s="64" t="s">
        <v>30</v>
      </c>
      <c r="B203" s="105">
        <f t="shared" si="19"/>
        <v>139847</v>
      </c>
      <c r="C203" s="103">
        <v>64897</v>
      </c>
      <c r="D203" s="103">
        <v>74950</v>
      </c>
      <c r="E203" s="103">
        <v>857237</v>
      </c>
      <c r="F203" s="99">
        <f>586997-I203</f>
        <v>476874</v>
      </c>
      <c r="G203" s="99">
        <v>401090</v>
      </c>
      <c r="H203" s="103">
        <v>14948.35</v>
      </c>
      <c r="I203" s="100">
        <v>110123</v>
      </c>
      <c r="J203" s="103">
        <v>42462</v>
      </c>
      <c r="K203" s="103">
        <v>849200</v>
      </c>
      <c r="L203" s="103">
        <v>24212</v>
      </c>
      <c r="M203" s="103">
        <v>10713</v>
      </c>
      <c r="N203" s="103">
        <v>71020</v>
      </c>
      <c r="O203" s="103">
        <v>325944</v>
      </c>
      <c r="P203" s="103">
        <v>2907633</v>
      </c>
      <c r="Q203" s="64" t="s">
        <v>30</v>
      </c>
    </row>
    <row r="204" spans="1:17" s="106" customFormat="1" ht="12.75">
      <c r="A204" s="64" t="s">
        <v>31</v>
      </c>
      <c r="B204" s="105">
        <f t="shared" si="19"/>
        <v>166078</v>
      </c>
      <c r="C204" s="103">
        <v>65247</v>
      </c>
      <c r="D204" s="103">
        <v>100831</v>
      </c>
      <c r="E204" s="103">
        <v>886795</v>
      </c>
      <c r="F204" s="99">
        <f>593637-I204</f>
        <v>480713.95</v>
      </c>
      <c r="G204" s="99">
        <v>402818.99526947003</v>
      </c>
      <c r="H204" s="103">
        <v>14948</v>
      </c>
      <c r="I204" s="133">
        <v>112923.05</v>
      </c>
      <c r="J204" s="103">
        <v>41530</v>
      </c>
      <c r="K204" s="103">
        <v>873740</v>
      </c>
      <c r="L204" s="103">
        <v>20392</v>
      </c>
      <c r="M204" s="103">
        <v>5300</v>
      </c>
      <c r="N204" s="103">
        <v>63628</v>
      </c>
      <c r="O204" s="103">
        <v>328646</v>
      </c>
      <c r="P204" s="103">
        <v>2979745</v>
      </c>
      <c r="Q204" s="64" t="s">
        <v>31</v>
      </c>
    </row>
    <row r="205" spans="1:17" s="106" customFormat="1" ht="14.25" customHeight="1">
      <c r="A205" s="64" t="s">
        <v>32</v>
      </c>
      <c r="B205" s="105">
        <f t="shared" si="19"/>
        <v>161819</v>
      </c>
      <c r="C205" s="103">
        <v>63220</v>
      </c>
      <c r="D205" s="103">
        <v>98599</v>
      </c>
      <c r="E205" s="103">
        <v>854792</v>
      </c>
      <c r="F205" s="99">
        <f>585872-I205</f>
        <v>491168.9</v>
      </c>
      <c r="G205" s="99">
        <v>421214.67557518</v>
      </c>
      <c r="H205" s="103">
        <v>14948</v>
      </c>
      <c r="I205" s="133">
        <v>94703.1</v>
      </c>
      <c r="J205" s="103">
        <v>41069</v>
      </c>
      <c r="K205" s="103">
        <v>875011</v>
      </c>
      <c r="L205" s="103">
        <v>30518</v>
      </c>
      <c r="M205" s="103">
        <v>11447</v>
      </c>
      <c r="N205" s="103">
        <v>43120</v>
      </c>
      <c r="O205" s="103">
        <v>325738</v>
      </c>
      <c r="P205" s="103">
        <v>2929386</v>
      </c>
      <c r="Q205" s="64" t="s">
        <v>32</v>
      </c>
    </row>
    <row r="206" spans="1:17" s="106" customFormat="1" ht="16.5" customHeight="1">
      <c r="A206" s="64" t="s">
        <v>33</v>
      </c>
      <c r="B206" s="105">
        <f>C206+D206</f>
        <v>188386</v>
      </c>
      <c r="C206" s="103">
        <v>60379</v>
      </c>
      <c r="D206" s="103">
        <v>128007</v>
      </c>
      <c r="E206" s="103">
        <v>850950</v>
      </c>
      <c r="F206" s="99">
        <v>574763</v>
      </c>
      <c r="G206" s="99">
        <v>457744.84070444</v>
      </c>
      <c r="H206" s="103">
        <v>14948</v>
      </c>
      <c r="I206" s="133">
        <v>50741.85</v>
      </c>
      <c r="J206" s="103">
        <v>48465</v>
      </c>
      <c r="K206" s="103">
        <v>894091</v>
      </c>
      <c r="L206" s="103">
        <v>34914</v>
      </c>
      <c r="M206" s="103">
        <v>2000</v>
      </c>
      <c r="N206" s="103">
        <v>49606</v>
      </c>
      <c r="O206" s="103">
        <v>314844</v>
      </c>
      <c r="P206" s="103">
        <v>2958019</v>
      </c>
      <c r="Q206" s="64" t="s">
        <v>33</v>
      </c>
    </row>
    <row r="207" spans="1:17" s="106" customFormat="1" ht="18.75" customHeight="1">
      <c r="A207" s="64" t="s">
        <v>35</v>
      </c>
      <c r="B207" s="105">
        <f>C207+D207</f>
        <v>155576</v>
      </c>
      <c r="C207" s="103">
        <v>68866</v>
      </c>
      <c r="D207" s="103">
        <v>86710</v>
      </c>
      <c r="E207" s="103" t="s">
        <v>185</v>
      </c>
      <c r="F207" s="99">
        <v>601430</v>
      </c>
      <c r="G207" s="99">
        <v>481265.60626013996</v>
      </c>
      <c r="H207" s="103">
        <v>15448</v>
      </c>
      <c r="I207" s="133">
        <v>52819.85</v>
      </c>
      <c r="J207" s="103">
        <v>48110</v>
      </c>
      <c r="K207" s="103">
        <v>913670</v>
      </c>
      <c r="L207" s="103">
        <v>34410</v>
      </c>
      <c r="M207" s="103">
        <v>0</v>
      </c>
      <c r="N207" s="103">
        <v>42097</v>
      </c>
      <c r="O207" s="103">
        <v>329658</v>
      </c>
      <c r="P207" s="103">
        <v>3044011</v>
      </c>
      <c r="Q207" s="64" t="s">
        <v>35</v>
      </c>
    </row>
    <row r="208" spans="1:21" s="106" customFormat="1" ht="16.5" customHeight="1">
      <c r="A208" s="64" t="s">
        <v>36</v>
      </c>
      <c r="B208" s="105">
        <f>C208+D208</f>
        <v>154072</v>
      </c>
      <c r="C208" s="103">
        <v>65244</v>
      </c>
      <c r="D208" s="103">
        <v>88828</v>
      </c>
      <c r="E208" s="105">
        <v>960654</v>
      </c>
      <c r="F208" s="99">
        <v>580898</v>
      </c>
      <c r="G208" s="99">
        <v>467628.20037390996</v>
      </c>
      <c r="H208" s="103">
        <v>15448</v>
      </c>
      <c r="I208" s="133">
        <v>43452</v>
      </c>
      <c r="J208" s="103">
        <v>50377</v>
      </c>
      <c r="K208" s="103">
        <v>951773</v>
      </c>
      <c r="L208" s="103">
        <v>23587</v>
      </c>
      <c r="M208" s="103">
        <v>2000</v>
      </c>
      <c r="N208" s="103">
        <v>64603</v>
      </c>
      <c r="O208" s="103">
        <v>327666</v>
      </c>
      <c r="P208" s="103">
        <v>3115631</v>
      </c>
      <c r="Q208" s="64" t="s">
        <v>36</v>
      </c>
      <c r="U208" s="64"/>
    </row>
    <row r="209" spans="1:17" s="106" customFormat="1" ht="18.75" customHeight="1">
      <c r="A209" s="64" t="s">
        <v>37</v>
      </c>
      <c r="B209" s="105">
        <f>C209+D209</f>
        <v>182379</v>
      </c>
      <c r="C209" s="103">
        <v>65669</v>
      </c>
      <c r="D209" s="103">
        <v>116710</v>
      </c>
      <c r="E209" s="103">
        <v>949227</v>
      </c>
      <c r="F209" s="99">
        <v>561572</v>
      </c>
      <c r="G209" s="99">
        <v>466946</v>
      </c>
      <c r="H209" s="103">
        <v>15448</v>
      </c>
      <c r="I209" s="133">
        <v>24827</v>
      </c>
      <c r="J209" s="103">
        <v>53494</v>
      </c>
      <c r="K209" s="103">
        <v>955897</v>
      </c>
      <c r="L209" s="103">
        <v>35749</v>
      </c>
      <c r="M209" s="103">
        <v>4000</v>
      </c>
      <c r="N209" s="103">
        <v>56513</v>
      </c>
      <c r="O209" s="103">
        <v>316712</v>
      </c>
      <c r="P209" s="103">
        <v>3115542</v>
      </c>
      <c r="Q209" s="64" t="s">
        <v>37</v>
      </c>
    </row>
    <row r="210" spans="1:17" s="106" customFormat="1" ht="18.75" customHeight="1">
      <c r="A210" s="64"/>
      <c r="B210" s="105"/>
      <c r="C210" s="103"/>
      <c r="D210" s="103"/>
      <c r="E210" s="103"/>
      <c r="F210" s="99"/>
      <c r="G210" s="99"/>
      <c r="H210" s="103"/>
      <c r="I210" s="133"/>
      <c r="J210" s="103"/>
      <c r="K210" s="103"/>
      <c r="L210" s="103"/>
      <c r="M210" s="103"/>
      <c r="N210" s="103"/>
      <c r="O210" s="103"/>
      <c r="P210" s="103"/>
      <c r="Q210" s="64"/>
    </row>
    <row r="211" spans="1:17" s="106" customFormat="1" ht="18.75" customHeight="1">
      <c r="A211" s="64"/>
      <c r="B211" s="105"/>
      <c r="C211" s="103"/>
      <c r="D211" s="103"/>
      <c r="E211" s="103"/>
      <c r="F211" s="99"/>
      <c r="G211" s="99"/>
      <c r="H211" s="103"/>
      <c r="I211" s="133"/>
      <c r="J211" s="103"/>
      <c r="K211" s="103" t="s">
        <v>186</v>
      </c>
      <c r="L211" s="103"/>
      <c r="M211" s="103"/>
      <c r="N211" s="103"/>
      <c r="O211" s="103"/>
      <c r="P211" s="103"/>
      <c r="Q211" s="64"/>
    </row>
    <row r="212" spans="1:17" s="106" customFormat="1" ht="18.75" customHeight="1">
      <c r="A212" s="43">
        <v>2012</v>
      </c>
      <c r="B212" s="105"/>
      <c r="C212" s="103"/>
      <c r="D212" s="103"/>
      <c r="E212" s="103"/>
      <c r="F212" s="99"/>
      <c r="G212" s="99"/>
      <c r="H212" s="103"/>
      <c r="I212" s="133"/>
      <c r="J212" s="103"/>
      <c r="K212" s="103"/>
      <c r="L212" s="103"/>
      <c r="M212" s="103"/>
      <c r="N212" s="103"/>
      <c r="O212" s="103"/>
      <c r="P212" s="103"/>
      <c r="Q212" s="43">
        <v>2012</v>
      </c>
    </row>
    <row r="213" spans="1:17" s="168" customFormat="1" ht="18.75" customHeight="1">
      <c r="A213" s="64" t="s">
        <v>25</v>
      </c>
      <c r="B213" s="105">
        <f aca="true" t="shared" si="20" ref="B213:B221">C213+D213</f>
        <v>172191</v>
      </c>
      <c r="C213" s="103">
        <v>60110</v>
      </c>
      <c r="D213" s="103">
        <v>112081</v>
      </c>
      <c r="E213" s="103">
        <v>915796</v>
      </c>
      <c r="F213" s="103">
        <v>587110</v>
      </c>
      <c r="G213" s="99">
        <v>454785</v>
      </c>
      <c r="H213" s="103">
        <v>15448</v>
      </c>
      <c r="I213" s="133">
        <v>59320</v>
      </c>
      <c r="J213" s="103">
        <v>55258</v>
      </c>
      <c r="K213" s="103">
        <v>945710</v>
      </c>
      <c r="L213" s="103">
        <v>42601</v>
      </c>
      <c r="M213" s="103">
        <v>3500</v>
      </c>
      <c r="N213" s="103">
        <v>39542</v>
      </c>
      <c r="O213" s="103">
        <v>336790</v>
      </c>
      <c r="P213" s="103">
        <v>3098498</v>
      </c>
      <c r="Q213" s="64" t="s">
        <v>25</v>
      </c>
    </row>
    <row r="214" spans="1:17" s="168" customFormat="1" ht="12.75">
      <c r="A214" s="64" t="s">
        <v>26</v>
      </c>
      <c r="B214" s="105">
        <f t="shared" si="20"/>
        <v>181949</v>
      </c>
      <c r="C214" s="103">
        <v>61744</v>
      </c>
      <c r="D214" s="103">
        <v>120205</v>
      </c>
      <c r="E214" s="103">
        <v>1012147</v>
      </c>
      <c r="F214" s="99">
        <v>588540</v>
      </c>
      <c r="G214" s="99">
        <v>481335</v>
      </c>
      <c r="H214" s="103">
        <v>15086</v>
      </c>
      <c r="I214" s="133">
        <v>61291</v>
      </c>
      <c r="J214" s="103">
        <v>56390</v>
      </c>
      <c r="K214" s="103">
        <v>961539</v>
      </c>
      <c r="L214" s="103">
        <v>35761</v>
      </c>
      <c r="M214" s="103">
        <v>0</v>
      </c>
      <c r="N214" s="103">
        <v>61766</v>
      </c>
      <c r="O214" s="103">
        <v>334658</v>
      </c>
      <c r="P214" s="103">
        <v>3232749</v>
      </c>
      <c r="Q214" s="64" t="s">
        <v>26</v>
      </c>
    </row>
    <row r="215" spans="1:17" s="106" customFormat="1" ht="12.75">
      <c r="A215" s="64" t="s">
        <v>27</v>
      </c>
      <c r="B215" s="105">
        <f t="shared" si="20"/>
        <v>166590</v>
      </c>
      <c r="C215" s="103">
        <v>61404</v>
      </c>
      <c r="D215" s="103">
        <v>105186</v>
      </c>
      <c r="E215" s="103">
        <v>940111</v>
      </c>
      <c r="F215" s="99">
        <v>610981</v>
      </c>
      <c r="G215" s="99">
        <v>515814</v>
      </c>
      <c r="H215" s="103">
        <v>14798</v>
      </c>
      <c r="I215" s="133">
        <v>49324</v>
      </c>
      <c r="J215" s="103">
        <v>58856</v>
      </c>
      <c r="K215" s="103">
        <v>970795</v>
      </c>
      <c r="L215" s="103">
        <v>46105</v>
      </c>
      <c r="M215" s="103">
        <v>7999</v>
      </c>
      <c r="N215" s="103">
        <v>36281</v>
      </c>
      <c r="O215" s="103">
        <v>336479</v>
      </c>
      <c r="P215" s="103">
        <v>3174196</v>
      </c>
      <c r="Q215" s="64" t="s">
        <v>27</v>
      </c>
    </row>
    <row r="216" spans="1:17" s="106" customFormat="1" ht="12.75">
      <c r="A216" s="64" t="s">
        <v>28</v>
      </c>
      <c r="B216" s="105">
        <f t="shared" si="20"/>
        <v>175787</v>
      </c>
      <c r="C216" s="103">
        <v>63028</v>
      </c>
      <c r="D216" s="103">
        <v>112759</v>
      </c>
      <c r="E216" s="103">
        <v>1041640</v>
      </c>
      <c r="F216" s="99">
        <v>669612</v>
      </c>
      <c r="G216" s="99">
        <v>587921</v>
      </c>
      <c r="H216" s="103">
        <v>14583</v>
      </c>
      <c r="I216" s="133">
        <v>34148</v>
      </c>
      <c r="J216" s="103">
        <v>56533</v>
      </c>
      <c r="K216" s="103">
        <v>959648</v>
      </c>
      <c r="L216" s="103">
        <v>45224</v>
      </c>
      <c r="M216" s="103">
        <v>4000</v>
      </c>
      <c r="N216" s="103">
        <v>49807</v>
      </c>
      <c r="O216" s="103">
        <v>334152</v>
      </c>
      <c r="P216" s="103">
        <v>3336401</v>
      </c>
      <c r="Q216" s="64" t="s">
        <v>28</v>
      </c>
    </row>
    <row r="217" spans="1:17" s="106" customFormat="1" ht="12.75">
      <c r="A217" s="64" t="s">
        <v>29</v>
      </c>
      <c r="B217" s="105">
        <f t="shared" si="20"/>
        <v>192528</v>
      </c>
      <c r="C217" s="103">
        <v>71897</v>
      </c>
      <c r="D217" s="103">
        <v>120631</v>
      </c>
      <c r="E217" s="103">
        <v>929225</v>
      </c>
      <c r="F217" s="99">
        <v>680287</v>
      </c>
      <c r="G217" s="99">
        <v>613322</v>
      </c>
      <c r="H217" s="103">
        <v>11474</v>
      </c>
      <c r="I217" s="133">
        <v>16843</v>
      </c>
      <c r="J217" s="103">
        <v>66515</v>
      </c>
      <c r="K217" s="103">
        <v>956285</v>
      </c>
      <c r="L217" s="103">
        <v>41983</v>
      </c>
      <c r="M217" s="103">
        <v>0</v>
      </c>
      <c r="N217" s="103">
        <v>40051</v>
      </c>
      <c r="O217" s="103">
        <v>354177</v>
      </c>
      <c r="P217" s="103">
        <v>3261051</v>
      </c>
      <c r="Q217" s="64" t="s">
        <v>29</v>
      </c>
    </row>
    <row r="218" spans="1:17" s="190" customFormat="1" ht="12.75">
      <c r="A218" s="64" t="s">
        <v>30</v>
      </c>
      <c r="B218" s="105">
        <f t="shared" si="20"/>
        <v>165261</v>
      </c>
      <c r="C218" s="103">
        <v>66919</v>
      </c>
      <c r="D218" s="103">
        <v>98342</v>
      </c>
      <c r="E218" s="103">
        <v>920605</v>
      </c>
      <c r="F218" s="99">
        <v>696010</v>
      </c>
      <c r="G218" s="99">
        <v>640835</v>
      </c>
      <c r="H218" s="103">
        <v>5769</v>
      </c>
      <c r="I218" s="133">
        <v>10343</v>
      </c>
      <c r="J218" s="103">
        <v>67533</v>
      </c>
      <c r="K218" s="103">
        <v>949789</v>
      </c>
      <c r="L218" s="103">
        <v>41873</v>
      </c>
      <c r="M218" s="103">
        <v>0</v>
      </c>
      <c r="N218" s="103">
        <v>41625</v>
      </c>
      <c r="O218" s="103">
        <v>348832</v>
      </c>
      <c r="P218" s="103">
        <v>3231528</v>
      </c>
      <c r="Q218" s="64" t="s">
        <v>30</v>
      </c>
    </row>
    <row r="219" spans="1:17" s="190" customFormat="1" ht="12.75">
      <c r="A219" s="64" t="s">
        <v>31</v>
      </c>
      <c r="B219" s="105">
        <f t="shared" si="20"/>
        <v>187663.87562236004</v>
      </c>
      <c r="C219" s="103">
        <v>81908.75942348</v>
      </c>
      <c r="D219" s="103">
        <v>105755.11619888002</v>
      </c>
      <c r="E219" s="103">
        <v>940072.6109555021</v>
      </c>
      <c r="F219" s="99">
        <v>702277.79614066</v>
      </c>
      <c r="G219" s="99">
        <v>659021.3662911499</v>
      </c>
      <c r="H219" s="103">
        <v>5131.35</v>
      </c>
      <c r="I219" s="133">
        <v>0</v>
      </c>
      <c r="J219" s="103">
        <v>78262.80560340999</v>
      </c>
      <c r="K219" s="103">
        <v>953348.5143289593</v>
      </c>
      <c r="L219" s="103">
        <v>39216.514373490005</v>
      </c>
      <c r="M219" s="103">
        <v>0</v>
      </c>
      <c r="N219" s="103">
        <v>40732.0170795766</v>
      </c>
      <c r="O219" s="103">
        <v>344591.1147225068</v>
      </c>
      <c r="P219" s="103">
        <v>3286165.248826465</v>
      </c>
      <c r="Q219" s="64" t="s">
        <v>31</v>
      </c>
    </row>
    <row r="220" spans="1:17" s="190" customFormat="1" ht="12.75">
      <c r="A220" s="64" t="s">
        <v>32</v>
      </c>
      <c r="B220" s="105">
        <f t="shared" si="20"/>
        <v>170202.26776481996</v>
      </c>
      <c r="C220" s="103">
        <v>72025.87559842998</v>
      </c>
      <c r="D220" s="103">
        <v>98176.39216638998</v>
      </c>
      <c r="E220" s="103">
        <v>986894.7840568261</v>
      </c>
      <c r="F220" s="99">
        <v>749337.6522892099</v>
      </c>
      <c r="G220" s="99">
        <v>703058.88234353</v>
      </c>
      <c r="H220" s="103">
        <v>4110.6</v>
      </c>
      <c r="I220" s="133">
        <v>0</v>
      </c>
      <c r="J220" s="103">
        <v>69721.98228658</v>
      </c>
      <c r="K220" s="103">
        <v>979637.9315708127</v>
      </c>
      <c r="L220" s="103">
        <v>45551.71278337</v>
      </c>
      <c r="M220" s="103">
        <v>0</v>
      </c>
      <c r="N220" s="103">
        <v>36922.8236861574</v>
      </c>
      <c r="O220" s="103">
        <v>341432.7359113271</v>
      </c>
      <c r="P220" s="103">
        <v>3379701.890349103</v>
      </c>
      <c r="Q220" s="64" t="s">
        <v>32</v>
      </c>
    </row>
    <row r="221" spans="1:17" s="190" customFormat="1" ht="12.75">
      <c r="A221" s="64" t="s">
        <v>33</v>
      </c>
      <c r="B221" s="105">
        <f t="shared" si="20"/>
        <v>182811.09986219</v>
      </c>
      <c r="C221" s="103">
        <v>72380.56025149001</v>
      </c>
      <c r="D221" s="103">
        <v>110430.53961069998</v>
      </c>
      <c r="E221" s="103">
        <v>991072.8459567737</v>
      </c>
      <c r="F221" s="99">
        <v>762178.7284380599</v>
      </c>
      <c r="G221" s="99">
        <v>717478.5351445199</v>
      </c>
      <c r="H221" s="103">
        <v>2465.8</v>
      </c>
      <c r="I221" s="133">
        <v>0</v>
      </c>
      <c r="J221" s="103">
        <v>71109.00105846</v>
      </c>
      <c r="K221" s="103">
        <v>991506.2962503043</v>
      </c>
      <c r="L221" s="103">
        <v>46642.18256620793</v>
      </c>
      <c r="M221" s="103">
        <v>0</v>
      </c>
      <c r="N221" s="103">
        <v>55604.01436433639</v>
      </c>
      <c r="O221" s="103">
        <v>350514.04991350573</v>
      </c>
      <c r="P221" s="103">
        <v>3451438.2184098377</v>
      </c>
      <c r="Q221" s="64" t="s">
        <v>33</v>
      </c>
    </row>
    <row r="222" spans="1:17" s="190" customFormat="1" ht="12.75">
      <c r="A222" s="64" t="s">
        <v>35</v>
      </c>
      <c r="B222" s="105">
        <f aca="true" t="shared" si="21" ref="B222:B229">C222+D222</f>
        <v>276186</v>
      </c>
      <c r="C222" s="103">
        <v>76564</v>
      </c>
      <c r="D222" s="103">
        <v>199622</v>
      </c>
      <c r="E222" s="103">
        <v>1120485</v>
      </c>
      <c r="F222" s="99">
        <v>774510</v>
      </c>
      <c r="G222" s="99">
        <v>729821</v>
      </c>
      <c r="H222" s="103">
        <v>1577</v>
      </c>
      <c r="I222" s="133">
        <v>0</v>
      </c>
      <c r="J222" s="103">
        <v>72151</v>
      </c>
      <c r="K222" s="103">
        <v>983163</v>
      </c>
      <c r="L222" s="103">
        <v>44309</v>
      </c>
      <c r="M222" s="103">
        <v>0</v>
      </c>
      <c r="N222" s="103">
        <v>38956</v>
      </c>
      <c r="O222" s="103">
        <v>335451</v>
      </c>
      <c r="P222" s="103">
        <v>3645209</v>
      </c>
      <c r="Q222" s="64" t="s">
        <v>35</v>
      </c>
    </row>
    <row r="223" spans="1:17" s="190" customFormat="1" ht="12.75">
      <c r="A223" s="64" t="s">
        <v>36</v>
      </c>
      <c r="B223" s="105">
        <f t="shared" si="21"/>
        <v>217159.32220985</v>
      </c>
      <c r="C223" s="103">
        <v>65874.50873741998</v>
      </c>
      <c r="D223" s="103">
        <v>151284.81347243002</v>
      </c>
      <c r="E223" s="103">
        <v>1136497.92905828</v>
      </c>
      <c r="F223" s="99">
        <v>840369.70507151</v>
      </c>
      <c r="G223" s="99">
        <v>795541.04260338</v>
      </c>
      <c r="H223" s="103">
        <v>1364.6</v>
      </c>
      <c r="I223" s="133">
        <v>0</v>
      </c>
      <c r="J223" s="103">
        <v>73450.29351876</v>
      </c>
      <c r="K223" s="103">
        <v>997672.6384867302</v>
      </c>
      <c r="L223" s="103">
        <v>41125.18887272791</v>
      </c>
      <c r="M223" s="103">
        <v>0</v>
      </c>
      <c r="N223" s="103">
        <v>42221.74365483999</v>
      </c>
      <c r="O223" s="103">
        <v>349074.09939459333</v>
      </c>
      <c r="P223" s="103">
        <v>3697570.920267292</v>
      </c>
      <c r="Q223" s="64" t="s">
        <v>36</v>
      </c>
    </row>
    <row r="224" spans="1:17" s="190" customFormat="1" ht="12.75">
      <c r="A224" s="64" t="s">
        <v>37</v>
      </c>
      <c r="B224" s="105">
        <f t="shared" si="21"/>
        <v>201390.84233743</v>
      </c>
      <c r="C224" s="103">
        <v>112803.1818504</v>
      </c>
      <c r="D224" s="103">
        <v>88587.66048702998</v>
      </c>
      <c r="E224" s="103">
        <v>1193365.0570744486</v>
      </c>
      <c r="F224" s="99">
        <v>859598.9717819401</v>
      </c>
      <c r="G224" s="99">
        <v>802713.46414804</v>
      </c>
      <c r="H224" s="103">
        <v>1165.8</v>
      </c>
      <c r="I224" s="133">
        <v>0</v>
      </c>
      <c r="J224" s="103">
        <v>74913.70467194</v>
      </c>
      <c r="K224" s="103">
        <v>1014898.6938020324</v>
      </c>
      <c r="L224" s="103">
        <v>45986.148150967914</v>
      </c>
      <c r="M224" s="103">
        <v>0</v>
      </c>
      <c r="N224" s="103">
        <v>21293.9447037</v>
      </c>
      <c r="O224" s="103">
        <v>339441.7851802267</v>
      </c>
      <c r="P224" s="103">
        <v>3740973.3867026847</v>
      </c>
      <c r="Q224" s="64" t="s">
        <v>37</v>
      </c>
    </row>
    <row r="225" spans="1:17" s="190" customFormat="1" ht="12.75">
      <c r="A225" s="64"/>
      <c r="B225" s="105"/>
      <c r="C225" s="103"/>
      <c r="D225" s="103"/>
      <c r="E225" s="103"/>
      <c r="F225" s="99"/>
      <c r="G225" s="99"/>
      <c r="H225" s="103"/>
      <c r="I225" s="133"/>
      <c r="J225" s="103"/>
      <c r="K225" s="103"/>
      <c r="L225" s="103"/>
      <c r="M225" s="103"/>
      <c r="N225" s="103"/>
      <c r="O225" s="103"/>
      <c r="P225" s="103"/>
      <c r="Q225" s="64"/>
    </row>
    <row r="226" spans="1:17" s="236" customFormat="1" ht="12.75">
      <c r="A226" s="43">
        <v>2013</v>
      </c>
      <c r="B226" s="105"/>
      <c r="C226" s="238"/>
      <c r="D226" s="238"/>
      <c r="E226" s="238"/>
      <c r="F226" s="240"/>
      <c r="G226" s="234"/>
      <c r="H226" s="233"/>
      <c r="I226" s="235"/>
      <c r="J226" s="233"/>
      <c r="K226" s="233"/>
      <c r="L226" s="233"/>
      <c r="M226" s="233"/>
      <c r="N226" s="233"/>
      <c r="O226" s="233"/>
      <c r="P226" s="238"/>
      <c r="Q226" s="261">
        <v>2013</v>
      </c>
    </row>
    <row r="227" spans="1:17" s="236" customFormat="1" ht="12.75">
      <c r="A227" s="243" t="s">
        <v>25</v>
      </c>
      <c r="B227" s="105">
        <f t="shared" si="21"/>
        <v>247630</v>
      </c>
      <c r="C227" s="238">
        <v>82632</v>
      </c>
      <c r="D227" s="238">
        <v>164998</v>
      </c>
      <c r="E227" s="238">
        <v>1160113.2438481972</v>
      </c>
      <c r="F227" s="240">
        <v>851664.7195424399</v>
      </c>
      <c r="G227" s="240">
        <v>794843</v>
      </c>
      <c r="H227" s="238">
        <v>222</v>
      </c>
      <c r="I227" s="242">
        <v>0</v>
      </c>
      <c r="J227" s="238">
        <v>82255</v>
      </c>
      <c r="K227" s="238">
        <v>1000554</v>
      </c>
      <c r="L227" s="238">
        <v>47716</v>
      </c>
      <c r="M227" s="238">
        <v>0</v>
      </c>
      <c r="N227" s="238">
        <v>25226</v>
      </c>
      <c r="O227" s="238">
        <v>335851</v>
      </c>
      <c r="P227" s="238">
        <v>3761079</v>
      </c>
      <c r="Q227" s="243" t="s">
        <v>25</v>
      </c>
    </row>
    <row r="228" spans="1:17" s="236" customFormat="1" ht="12.75">
      <c r="A228" s="243" t="s">
        <v>26</v>
      </c>
      <c r="B228" s="105">
        <f t="shared" si="21"/>
        <v>278844</v>
      </c>
      <c r="C228" s="238">
        <v>91146</v>
      </c>
      <c r="D228" s="238">
        <v>187698</v>
      </c>
      <c r="E228" s="238">
        <v>1166071</v>
      </c>
      <c r="F228" s="240">
        <v>885779.67427605</v>
      </c>
      <c r="G228" s="240">
        <v>828147</v>
      </c>
      <c r="H228" s="238">
        <v>0</v>
      </c>
      <c r="I228" s="242">
        <v>0</v>
      </c>
      <c r="J228" s="238">
        <v>76022</v>
      </c>
      <c r="K228" s="238">
        <v>1031689</v>
      </c>
      <c r="L228" s="238">
        <v>42465</v>
      </c>
      <c r="M228" s="238">
        <v>0</v>
      </c>
      <c r="N228" s="238">
        <v>32855</v>
      </c>
      <c r="O228" s="238">
        <v>341993</v>
      </c>
      <c r="P228" s="238">
        <v>3845787</v>
      </c>
      <c r="Q228" s="243" t="s">
        <v>26</v>
      </c>
    </row>
    <row r="229" spans="1:17" s="236" customFormat="1" ht="12.75">
      <c r="A229" s="243" t="s">
        <v>27</v>
      </c>
      <c r="B229" s="105">
        <f t="shared" si="21"/>
        <v>310922</v>
      </c>
      <c r="C229" s="239">
        <v>99298</v>
      </c>
      <c r="D229" s="239">
        <v>211624</v>
      </c>
      <c r="E229" s="239">
        <v>1175323</v>
      </c>
      <c r="F229" s="239">
        <v>872454.82555388</v>
      </c>
      <c r="G229" s="239">
        <v>814837</v>
      </c>
      <c r="H229" s="241">
        <v>0</v>
      </c>
      <c r="I229" s="239">
        <v>0</v>
      </c>
      <c r="J229" s="239">
        <v>70315</v>
      </c>
      <c r="K229" s="239">
        <v>1018378</v>
      </c>
      <c r="L229" s="239">
        <v>67677</v>
      </c>
      <c r="M229" s="239">
        <v>0</v>
      </c>
      <c r="N229" s="239">
        <v>43264</v>
      </c>
      <c r="O229" s="239">
        <v>348925</v>
      </c>
      <c r="P229" s="239">
        <v>3898113</v>
      </c>
      <c r="Q229" s="243" t="s">
        <v>27</v>
      </c>
    </row>
    <row r="230" spans="1:17" s="236" customFormat="1" ht="12.75">
      <c r="A230" s="64" t="s">
        <v>28</v>
      </c>
      <c r="B230" s="105">
        <f aca="true" t="shared" si="22" ref="B230:B235">C230+D230</f>
        <v>312103</v>
      </c>
      <c r="C230" s="239">
        <v>106271</v>
      </c>
      <c r="D230" s="239">
        <v>205832</v>
      </c>
      <c r="E230" s="239">
        <v>1133644</v>
      </c>
      <c r="F230" s="239">
        <v>901120.0818153801</v>
      </c>
      <c r="G230" s="239">
        <v>835772</v>
      </c>
      <c r="H230" s="241">
        <v>0</v>
      </c>
      <c r="I230" s="239">
        <v>0</v>
      </c>
      <c r="J230" s="239">
        <v>202279</v>
      </c>
      <c r="K230" s="239">
        <v>919237</v>
      </c>
      <c r="L230" s="239">
        <v>50747</v>
      </c>
      <c r="M230" s="239">
        <v>0</v>
      </c>
      <c r="N230" s="239">
        <v>55269</v>
      </c>
      <c r="O230" s="239">
        <v>358009</v>
      </c>
      <c r="P230" s="239">
        <v>3932410</v>
      </c>
      <c r="Q230" s="64" t="s">
        <v>28</v>
      </c>
    </row>
    <row r="231" spans="1:17" s="236" customFormat="1" ht="12.75">
      <c r="A231" s="64" t="s">
        <v>29</v>
      </c>
      <c r="B231" s="105">
        <f t="shared" si="22"/>
        <v>369005</v>
      </c>
      <c r="C231" s="239">
        <v>97905</v>
      </c>
      <c r="D231" s="239">
        <v>271100</v>
      </c>
      <c r="E231" s="239">
        <v>1083412</v>
      </c>
      <c r="F231" s="239">
        <v>900689.3644103701</v>
      </c>
      <c r="G231" s="239">
        <v>825432</v>
      </c>
      <c r="H231" s="241">
        <v>0</v>
      </c>
      <c r="I231" s="239">
        <v>0</v>
      </c>
      <c r="J231" s="239">
        <v>211280</v>
      </c>
      <c r="K231" s="239">
        <v>937340</v>
      </c>
      <c r="L231" s="239">
        <v>43375</v>
      </c>
      <c r="M231" s="239">
        <v>0</v>
      </c>
      <c r="N231" s="239">
        <v>33976</v>
      </c>
      <c r="O231" s="239">
        <v>348320</v>
      </c>
      <c r="P231" s="239">
        <v>3927398</v>
      </c>
      <c r="Q231" s="64" t="s">
        <v>29</v>
      </c>
    </row>
    <row r="232" spans="1:17" s="236" customFormat="1" ht="12.75">
      <c r="A232" s="64" t="s">
        <v>30</v>
      </c>
      <c r="B232" s="105">
        <f t="shared" si="22"/>
        <v>335298</v>
      </c>
      <c r="C232" s="239">
        <v>103601</v>
      </c>
      <c r="D232" s="239">
        <v>231697</v>
      </c>
      <c r="E232" s="239">
        <v>1139499</v>
      </c>
      <c r="F232" s="239">
        <v>925500.82483013</v>
      </c>
      <c r="G232" s="239">
        <v>851045</v>
      </c>
      <c r="H232" s="241">
        <v>0</v>
      </c>
      <c r="I232" s="239">
        <v>0</v>
      </c>
      <c r="J232" s="239">
        <v>214910</v>
      </c>
      <c r="K232" s="239">
        <v>971653</v>
      </c>
      <c r="L232" s="239">
        <v>43617</v>
      </c>
      <c r="M232" s="239">
        <v>0</v>
      </c>
      <c r="N232" s="239">
        <v>43136</v>
      </c>
      <c r="O232" s="239">
        <v>357308</v>
      </c>
      <c r="P232" s="239">
        <v>4030921</v>
      </c>
      <c r="Q232" s="64" t="s">
        <v>30</v>
      </c>
    </row>
    <row r="233" spans="1:17" s="235" customFormat="1" ht="12" customHeight="1">
      <c r="A233" s="89" t="s">
        <v>31</v>
      </c>
      <c r="B233" s="124">
        <f t="shared" si="22"/>
        <v>361136</v>
      </c>
      <c r="C233" s="242">
        <v>97061</v>
      </c>
      <c r="D233" s="242">
        <v>264075</v>
      </c>
      <c r="E233" s="242">
        <v>1197993</v>
      </c>
      <c r="F233" s="242">
        <v>1004700.0474091399</v>
      </c>
      <c r="G233" s="242">
        <v>930993</v>
      </c>
      <c r="H233" s="251">
        <v>0</v>
      </c>
      <c r="I233" s="242">
        <v>0</v>
      </c>
      <c r="J233" s="242">
        <v>215450</v>
      </c>
      <c r="K233" s="242">
        <v>959827</v>
      </c>
      <c r="L233" s="242">
        <v>44434</v>
      </c>
      <c r="M233" s="242">
        <v>0</v>
      </c>
      <c r="N233" s="242">
        <v>34557</v>
      </c>
      <c r="O233" s="242">
        <v>350874</v>
      </c>
      <c r="P233" s="242">
        <v>4168971</v>
      </c>
      <c r="Q233" s="89" t="s">
        <v>31</v>
      </c>
    </row>
    <row r="234" spans="1:17" s="235" customFormat="1" ht="12" customHeight="1">
      <c r="A234" s="89" t="s">
        <v>32</v>
      </c>
      <c r="B234" s="124">
        <f t="shared" si="22"/>
        <v>355448</v>
      </c>
      <c r="C234" s="242">
        <v>95045</v>
      </c>
      <c r="D234" s="242">
        <v>260403</v>
      </c>
      <c r="E234" s="242">
        <v>1148759</v>
      </c>
      <c r="F234" s="242">
        <v>1080835</v>
      </c>
      <c r="G234" s="242">
        <v>1004120</v>
      </c>
      <c r="H234" s="251">
        <v>0</v>
      </c>
      <c r="I234" s="242">
        <v>0</v>
      </c>
      <c r="J234" s="242">
        <v>212628</v>
      </c>
      <c r="K234" s="242">
        <v>979916</v>
      </c>
      <c r="L234" s="242">
        <v>51194</v>
      </c>
      <c r="M234" s="242">
        <v>0</v>
      </c>
      <c r="N234" s="242">
        <v>40706</v>
      </c>
      <c r="O234" s="242">
        <v>344003</v>
      </c>
      <c r="P234" s="242">
        <v>4213491</v>
      </c>
      <c r="Q234" s="89" t="s">
        <v>32</v>
      </c>
    </row>
    <row r="235" spans="1:17" s="235" customFormat="1" ht="12" customHeight="1">
      <c r="A235" s="89" t="s">
        <v>33</v>
      </c>
      <c r="B235" s="124">
        <f t="shared" si="22"/>
        <v>299977</v>
      </c>
      <c r="C235" s="242">
        <v>106430</v>
      </c>
      <c r="D235" s="242">
        <v>193547</v>
      </c>
      <c r="E235" s="242">
        <v>1139632</v>
      </c>
      <c r="F235" s="242">
        <v>1178292</v>
      </c>
      <c r="G235" s="242">
        <v>1102672</v>
      </c>
      <c r="H235" s="251">
        <v>0</v>
      </c>
      <c r="I235" s="242">
        <v>0</v>
      </c>
      <c r="J235" s="242">
        <v>212801</v>
      </c>
      <c r="K235" s="242">
        <v>991405</v>
      </c>
      <c r="L235" s="242">
        <v>49690</v>
      </c>
      <c r="M235" s="242">
        <v>0</v>
      </c>
      <c r="N235" s="242">
        <v>45143</v>
      </c>
      <c r="O235" s="242">
        <v>347015</v>
      </c>
      <c r="P235" s="242">
        <v>4263955</v>
      </c>
      <c r="Q235" s="89" t="s">
        <v>33</v>
      </c>
    </row>
    <row r="236" spans="1:17" s="235" customFormat="1" ht="12" customHeight="1">
      <c r="A236" s="89" t="s">
        <v>35</v>
      </c>
      <c r="B236" s="124">
        <f>C236+D236</f>
        <v>313253</v>
      </c>
      <c r="C236" s="242">
        <v>106330</v>
      </c>
      <c r="D236" s="242">
        <v>206923</v>
      </c>
      <c r="E236" s="242">
        <v>1137704</v>
      </c>
      <c r="F236" s="242">
        <v>1222482</v>
      </c>
      <c r="G236" s="242">
        <v>1145784</v>
      </c>
      <c r="H236" s="251">
        <v>0</v>
      </c>
      <c r="I236" s="242">
        <v>0</v>
      </c>
      <c r="J236" s="242">
        <v>214372</v>
      </c>
      <c r="K236" s="242">
        <v>998476</v>
      </c>
      <c r="L236" s="242">
        <v>52886</v>
      </c>
      <c r="M236" s="242">
        <v>0</v>
      </c>
      <c r="N236" s="242">
        <v>40664</v>
      </c>
      <c r="O236" s="242">
        <v>344202</v>
      </c>
      <c r="P236" s="242">
        <v>4324038</v>
      </c>
      <c r="Q236" s="89" t="s">
        <v>35</v>
      </c>
    </row>
    <row r="237" spans="1:17" s="242" customFormat="1" ht="12" customHeight="1">
      <c r="A237" s="89" t="s">
        <v>36</v>
      </c>
      <c r="B237" s="124">
        <f>C237+D237</f>
        <v>315387</v>
      </c>
      <c r="C237" s="242">
        <v>88264</v>
      </c>
      <c r="D237" s="242">
        <v>227123</v>
      </c>
      <c r="E237" s="242">
        <v>1179503</v>
      </c>
      <c r="F237" s="242">
        <v>1244255</v>
      </c>
      <c r="G237" s="242">
        <v>1167122</v>
      </c>
      <c r="H237" s="251">
        <v>0</v>
      </c>
      <c r="I237" s="242">
        <v>0</v>
      </c>
      <c r="J237" s="242">
        <v>209954</v>
      </c>
      <c r="K237" s="242">
        <v>1005131</v>
      </c>
      <c r="L237" s="242">
        <v>51406</v>
      </c>
      <c r="M237" s="242">
        <v>0</v>
      </c>
      <c r="N237" s="242">
        <v>40921</v>
      </c>
      <c r="O237" s="242">
        <v>344293</v>
      </c>
      <c r="P237" s="242">
        <v>4396849</v>
      </c>
      <c r="Q237" s="89" t="s">
        <v>36</v>
      </c>
    </row>
    <row r="238" spans="1:17" s="254" customFormat="1" ht="12.75">
      <c r="A238" s="89" t="s">
        <v>37</v>
      </c>
      <c r="B238" s="124">
        <f>C238+D238</f>
        <v>349758</v>
      </c>
      <c r="C238" s="242">
        <v>131029</v>
      </c>
      <c r="D238" s="242">
        <v>218729</v>
      </c>
      <c r="E238" s="242">
        <v>1320984</v>
      </c>
      <c r="F238" s="242">
        <v>1218866</v>
      </c>
      <c r="G238" s="242">
        <v>1141885</v>
      </c>
      <c r="H238" s="251">
        <v>0</v>
      </c>
      <c r="I238" s="242">
        <v>0</v>
      </c>
      <c r="J238" s="242">
        <v>200047</v>
      </c>
      <c r="K238" s="242">
        <v>988548</v>
      </c>
      <c r="L238" s="242">
        <v>39625</v>
      </c>
      <c r="M238" s="242">
        <v>0</v>
      </c>
      <c r="N238" s="242">
        <v>42733</v>
      </c>
      <c r="O238" s="242">
        <v>352604</v>
      </c>
      <c r="P238" s="242">
        <v>4513166</v>
      </c>
      <c r="Q238" s="89" t="s">
        <v>37</v>
      </c>
    </row>
    <row r="239" spans="1:17" s="254" customFormat="1" ht="12.75">
      <c r="A239" s="89"/>
      <c r="B239" s="124"/>
      <c r="C239" s="242"/>
      <c r="D239" s="242"/>
      <c r="E239" s="242"/>
      <c r="F239" s="242"/>
      <c r="G239" s="242"/>
      <c r="H239" s="251"/>
      <c r="I239" s="242"/>
      <c r="J239" s="242"/>
      <c r="K239" s="242"/>
      <c r="L239" s="242"/>
      <c r="M239" s="242"/>
      <c r="N239" s="242"/>
      <c r="O239" s="242"/>
      <c r="P239" s="242"/>
      <c r="Q239" s="89"/>
    </row>
    <row r="240" spans="1:17" s="254" customFormat="1" ht="12.75">
      <c r="A240" s="260">
        <v>2014</v>
      </c>
      <c r="B240" s="124"/>
      <c r="C240" s="242"/>
      <c r="D240" s="242"/>
      <c r="E240" s="242"/>
      <c r="F240" s="242"/>
      <c r="G240" s="242"/>
      <c r="H240" s="251"/>
      <c r="I240" s="242"/>
      <c r="J240" s="242"/>
      <c r="K240" s="242"/>
      <c r="L240" s="242"/>
      <c r="M240" s="242"/>
      <c r="N240" s="242"/>
      <c r="O240" s="242"/>
      <c r="P240" s="242"/>
      <c r="Q240" s="260">
        <v>2014</v>
      </c>
    </row>
    <row r="241" spans="1:17" s="254" customFormat="1" ht="12.75">
      <c r="A241" s="89" t="s">
        <v>25</v>
      </c>
      <c r="B241" s="124">
        <f aca="true" t="shared" si="23" ref="B241:B252">C241+D241</f>
        <v>282817</v>
      </c>
      <c r="C241" s="242">
        <v>86491</v>
      </c>
      <c r="D241" s="242">
        <v>196326</v>
      </c>
      <c r="E241" s="242">
        <v>1233381</v>
      </c>
      <c r="F241" s="242">
        <v>1154966</v>
      </c>
      <c r="G241" s="242">
        <v>1154966</v>
      </c>
      <c r="H241" s="251">
        <v>0</v>
      </c>
      <c r="I241" s="242">
        <v>0</v>
      </c>
      <c r="J241" s="242">
        <v>200649</v>
      </c>
      <c r="K241" s="242">
        <v>990491</v>
      </c>
      <c r="L241" s="242">
        <v>42065</v>
      </c>
      <c r="M241" s="242">
        <v>0</v>
      </c>
      <c r="N241" s="242">
        <v>27024</v>
      </c>
      <c r="O241" s="242">
        <v>381563</v>
      </c>
      <c r="P241" s="242">
        <v>4391878</v>
      </c>
      <c r="Q241" s="89" t="s">
        <v>25</v>
      </c>
    </row>
    <row r="242" spans="1:17" s="254" customFormat="1" ht="12.75">
      <c r="A242" s="89" t="s">
        <v>26</v>
      </c>
      <c r="B242" s="124">
        <f t="shared" si="23"/>
        <v>399963</v>
      </c>
      <c r="C242" s="242">
        <v>107596</v>
      </c>
      <c r="D242" s="242">
        <v>292367</v>
      </c>
      <c r="E242" s="242">
        <v>1248687</v>
      </c>
      <c r="F242" s="242">
        <v>1175289</v>
      </c>
      <c r="G242" s="242">
        <v>1175289</v>
      </c>
      <c r="H242" s="251">
        <v>0</v>
      </c>
      <c r="I242" s="242">
        <v>0</v>
      </c>
      <c r="J242" s="242">
        <v>198895</v>
      </c>
      <c r="K242" s="242">
        <v>992854.7766842236</v>
      </c>
      <c r="L242" s="242">
        <v>49202</v>
      </c>
      <c r="M242" s="242">
        <v>0</v>
      </c>
      <c r="N242" s="242">
        <v>11169</v>
      </c>
      <c r="O242" s="242">
        <v>365930</v>
      </c>
      <c r="P242" s="242">
        <v>4519143</v>
      </c>
      <c r="Q242" s="89" t="s">
        <v>26</v>
      </c>
    </row>
    <row r="243" spans="1:17" s="254" customFormat="1" ht="12.75">
      <c r="A243" s="89" t="s">
        <v>27</v>
      </c>
      <c r="B243" s="124">
        <f t="shared" si="23"/>
        <v>402771</v>
      </c>
      <c r="C243" s="242">
        <v>128430</v>
      </c>
      <c r="D243" s="242">
        <v>274341</v>
      </c>
      <c r="E243" s="242">
        <v>1182024</v>
      </c>
      <c r="F243" s="242">
        <v>1209987</v>
      </c>
      <c r="G243" s="242">
        <v>1209987</v>
      </c>
      <c r="H243" s="251">
        <v>0</v>
      </c>
      <c r="I243" s="242">
        <v>0</v>
      </c>
      <c r="J243" s="242">
        <v>198248</v>
      </c>
      <c r="K243" s="242">
        <v>977391</v>
      </c>
      <c r="L243" s="242">
        <v>40278</v>
      </c>
      <c r="M243" s="242">
        <v>0</v>
      </c>
      <c r="N243" s="242">
        <v>18362</v>
      </c>
      <c r="O243" s="242">
        <v>359788</v>
      </c>
      <c r="P243" s="242">
        <v>4466010</v>
      </c>
      <c r="Q243" s="89" t="s">
        <v>27</v>
      </c>
    </row>
    <row r="244" spans="1:17" s="254" customFormat="1" ht="12.75">
      <c r="A244" s="89" t="s">
        <v>28</v>
      </c>
      <c r="B244" s="124">
        <f t="shared" si="23"/>
        <v>449088.2338835</v>
      </c>
      <c r="C244" s="242">
        <v>145369.73550816</v>
      </c>
      <c r="D244" s="242">
        <v>303718.49837533996</v>
      </c>
      <c r="E244" s="242">
        <v>1099016.5025697849</v>
      </c>
      <c r="F244" s="242">
        <v>1280033.1117451398</v>
      </c>
      <c r="G244" s="242">
        <v>1280033.1117451398</v>
      </c>
      <c r="H244" s="251">
        <v>0</v>
      </c>
      <c r="I244" s="242">
        <v>0</v>
      </c>
      <c r="J244" s="242">
        <v>199102.05420696</v>
      </c>
      <c r="K244" s="242">
        <v>983735.3000863225</v>
      </c>
      <c r="L244" s="242">
        <v>42120.11855738811</v>
      </c>
      <c r="M244" s="242">
        <v>0</v>
      </c>
      <c r="N244" s="242">
        <v>38455.02906483226</v>
      </c>
      <c r="O244" s="242">
        <v>360390.07308406883</v>
      </c>
      <c r="P244" s="242">
        <v>4531268.069855397</v>
      </c>
      <c r="Q244" s="89" t="s">
        <v>28</v>
      </c>
    </row>
    <row r="245" spans="1:17" s="254" customFormat="1" ht="12.75">
      <c r="A245" s="89" t="s">
        <v>29</v>
      </c>
      <c r="B245" s="124">
        <f t="shared" si="23"/>
        <v>497626.28501557995</v>
      </c>
      <c r="C245" s="242">
        <v>144750.41360124998</v>
      </c>
      <c r="D245" s="242">
        <v>352875.87141433</v>
      </c>
      <c r="E245" s="242">
        <v>1092216.3421848468</v>
      </c>
      <c r="F245" s="242">
        <v>1308569.02036819</v>
      </c>
      <c r="G245" s="242">
        <v>1308569.02036819</v>
      </c>
      <c r="H245" s="251">
        <v>0</v>
      </c>
      <c r="I245" s="242">
        <v>0</v>
      </c>
      <c r="J245" s="242">
        <v>195283.85285501002</v>
      </c>
      <c r="K245" s="242">
        <v>971469.689216872</v>
      </c>
      <c r="L245" s="242">
        <v>41527.92337210812</v>
      </c>
      <c r="M245" s="242">
        <v>0</v>
      </c>
      <c r="N245" s="242">
        <v>28444.529902502185</v>
      </c>
      <c r="O245" s="242">
        <v>344563.38924497593</v>
      </c>
      <c r="P245" s="242">
        <v>4557740.818019144</v>
      </c>
      <c r="Q245" s="89" t="s">
        <v>29</v>
      </c>
    </row>
    <row r="246" spans="1:17" s="254" customFormat="1" ht="12.75">
      <c r="A246" s="89" t="s">
        <v>30</v>
      </c>
      <c r="B246" s="124">
        <f t="shared" si="23"/>
        <v>481285.27935172006</v>
      </c>
      <c r="C246" s="242">
        <v>154506.84484926995</v>
      </c>
      <c r="D246" s="242">
        <v>326778.4345024501</v>
      </c>
      <c r="E246" s="242">
        <v>1234303.3488730085</v>
      </c>
      <c r="F246" s="242">
        <v>1358487.36963882</v>
      </c>
      <c r="G246" s="242">
        <v>1358487.36963882</v>
      </c>
      <c r="H246" s="251">
        <v>0</v>
      </c>
      <c r="I246" s="242">
        <v>0</v>
      </c>
      <c r="J246" s="242">
        <v>191415.94892442</v>
      </c>
      <c r="K246" s="242">
        <v>1003467.0445811335</v>
      </c>
      <c r="L246" s="242">
        <v>45367.22851902811</v>
      </c>
      <c r="M246" s="242">
        <v>0</v>
      </c>
      <c r="N246" s="242">
        <v>22965.604093611273</v>
      </c>
      <c r="O246" s="242">
        <v>361052.6624201376</v>
      </c>
      <c r="P246" s="242">
        <v>4775413.339638279</v>
      </c>
      <c r="Q246" s="89" t="s">
        <v>30</v>
      </c>
    </row>
    <row r="247" spans="1:17" s="254" customFormat="1" ht="12.75">
      <c r="A247" s="89" t="s">
        <v>31</v>
      </c>
      <c r="B247" s="124">
        <f t="shared" si="23"/>
        <v>411212</v>
      </c>
      <c r="C247" s="242">
        <v>135973</v>
      </c>
      <c r="D247" s="242">
        <v>275239</v>
      </c>
      <c r="E247" s="242">
        <v>1199842</v>
      </c>
      <c r="F247" s="242">
        <v>1460703</v>
      </c>
      <c r="G247" s="242">
        <v>1460703</v>
      </c>
      <c r="H247" s="251">
        <v>0</v>
      </c>
      <c r="I247" s="242">
        <v>0</v>
      </c>
      <c r="J247" s="242">
        <v>190921</v>
      </c>
      <c r="K247" s="242">
        <v>1030278</v>
      </c>
      <c r="L247" s="242">
        <v>44376</v>
      </c>
      <c r="M247" s="242">
        <v>0</v>
      </c>
      <c r="N247" s="242">
        <v>18781</v>
      </c>
      <c r="O247" s="242">
        <v>336512</v>
      </c>
      <c r="P247" s="242">
        <v>4770976</v>
      </c>
      <c r="Q247" s="89" t="s">
        <v>31</v>
      </c>
    </row>
    <row r="248" spans="1:17" s="254" customFormat="1" ht="12.75">
      <c r="A248" s="89" t="s">
        <v>32</v>
      </c>
      <c r="B248" s="124">
        <f t="shared" si="23"/>
        <v>410610</v>
      </c>
      <c r="C248" s="242">
        <v>123679</v>
      </c>
      <c r="D248" s="242">
        <v>286931</v>
      </c>
      <c r="E248" s="242">
        <v>1175064</v>
      </c>
      <c r="F248" s="242">
        <v>1497859</v>
      </c>
      <c r="G248" s="242">
        <v>1497859</v>
      </c>
      <c r="H248" s="251">
        <v>0</v>
      </c>
      <c r="I248" s="242">
        <v>0</v>
      </c>
      <c r="J248" s="242">
        <v>196412</v>
      </c>
      <c r="K248" s="242">
        <v>1046687</v>
      </c>
      <c r="L248" s="242">
        <v>44920</v>
      </c>
      <c r="M248" s="242">
        <v>0</v>
      </c>
      <c r="N248" s="242">
        <v>19210</v>
      </c>
      <c r="O248" s="242">
        <v>350627</v>
      </c>
      <c r="P248" s="242">
        <v>4822894</v>
      </c>
      <c r="Q248" s="89" t="s">
        <v>32</v>
      </c>
    </row>
    <row r="249" spans="1:17" s="254" customFormat="1" ht="12.75">
      <c r="A249" s="89" t="s">
        <v>33</v>
      </c>
      <c r="B249" s="124">
        <f t="shared" si="23"/>
        <v>361934</v>
      </c>
      <c r="C249" s="242">
        <v>140282</v>
      </c>
      <c r="D249" s="242">
        <v>221652</v>
      </c>
      <c r="E249" s="242">
        <v>1172159</v>
      </c>
      <c r="F249" s="242">
        <v>1526885</v>
      </c>
      <c r="G249" s="242">
        <v>1526885</v>
      </c>
      <c r="H249" s="251">
        <v>0</v>
      </c>
      <c r="I249" s="242">
        <v>0</v>
      </c>
      <c r="J249" s="242">
        <v>199445</v>
      </c>
      <c r="K249" s="242">
        <v>1025881</v>
      </c>
      <c r="L249" s="242">
        <v>47837</v>
      </c>
      <c r="M249" s="242">
        <v>0</v>
      </c>
      <c r="N249" s="242">
        <v>55640</v>
      </c>
      <c r="O249" s="242">
        <v>357482</v>
      </c>
      <c r="P249" s="242">
        <v>4830298</v>
      </c>
      <c r="Q249" s="89" t="s">
        <v>33</v>
      </c>
    </row>
    <row r="250" spans="1:17" s="254" customFormat="1" ht="12.75">
      <c r="A250" s="89" t="s">
        <v>35</v>
      </c>
      <c r="B250" s="124">
        <f t="shared" si="23"/>
        <v>495775.64734113996</v>
      </c>
      <c r="C250" s="242">
        <v>107508.34891721999</v>
      </c>
      <c r="D250" s="242">
        <v>388267.29842392</v>
      </c>
      <c r="E250" s="242">
        <v>1190059.5828056212</v>
      </c>
      <c r="F250" s="242">
        <v>1537283.53288216</v>
      </c>
      <c r="G250" s="242">
        <v>1537283.53288216</v>
      </c>
      <c r="H250" s="251">
        <v>0</v>
      </c>
      <c r="I250" s="242">
        <v>0</v>
      </c>
      <c r="J250" s="242">
        <v>195579.76631612</v>
      </c>
      <c r="K250" s="242">
        <v>1020692.7084682881</v>
      </c>
      <c r="L250" s="242">
        <v>40447.773936159996</v>
      </c>
      <c r="M250" s="242">
        <v>0</v>
      </c>
      <c r="N250" s="242">
        <v>30844.37183602</v>
      </c>
      <c r="O250" s="242">
        <v>362864.74718166405</v>
      </c>
      <c r="P250" s="242">
        <v>4958755.233519575</v>
      </c>
      <c r="Q250" s="89" t="s">
        <v>35</v>
      </c>
    </row>
    <row r="251" spans="1:17" s="254" customFormat="1" ht="12.75">
      <c r="A251" s="89" t="s">
        <v>36</v>
      </c>
      <c r="B251" s="124">
        <f t="shared" si="23"/>
        <v>376529.7054152017</v>
      </c>
      <c r="C251" s="242">
        <v>128030.94280288176</v>
      </c>
      <c r="D251" s="242">
        <v>248498.76261232</v>
      </c>
      <c r="E251" s="242">
        <v>1181791.898143518</v>
      </c>
      <c r="F251" s="242">
        <v>1583423.98674372</v>
      </c>
      <c r="G251" s="242">
        <v>1583423.98674372</v>
      </c>
      <c r="H251" s="251">
        <v>0</v>
      </c>
      <c r="I251" s="242">
        <v>0</v>
      </c>
      <c r="J251" s="242">
        <v>199280.82946009</v>
      </c>
      <c r="K251" s="242">
        <v>1042574.552130122</v>
      </c>
      <c r="L251" s="242">
        <v>39965.980868909</v>
      </c>
      <c r="M251" s="242">
        <v>0</v>
      </c>
      <c r="N251" s="242">
        <v>22552.72314094</v>
      </c>
      <c r="O251" s="242">
        <v>375413.41330002557</v>
      </c>
      <c r="P251" s="242">
        <v>4908324.819954926</v>
      </c>
      <c r="Q251" s="89" t="s">
        <v>36</v>
      </c>
    </row>
    <row r="252" spans="1:17" s="297" customFormat="1" ht="15.75">
      <c r="A252" s="263" t="s">
        <v>236</v>
      </c>
      <c r="B252" s="294">
        <f t="shared" si="23"/>
        <v>496916.3925588386</v>
      </c>
      <c r="C252" s="295">
        <v>139400.15235868856</v>
      </c>
      <c r="D252" s="295">
        <v>357516.24020015</v>
      </c>
      <c r="E252" s="295">
        <v>1308041.2105790067</v>
      </c>
      <c r="F252" s="295">
        <v>1665522.72869467</v>
      </c>
      <c r="G252" s="295">
        <v>1575962.19919391</v>
      </c>
      <c r="H252" s="296">
        <v>6</v>
      </c>
      <c r="I252" s="295">
        <v>0</v>
      </c>
      <c r="J252" s="295">
        <v>199229.17906668002</v>
      </c>
      <c r="K252" s="295">
        <v>1038539.545053494</v>
      </c>
      <c r="L252" s="295">
        <v>41802.44570674</v>
      </c>
      <c r="M252" s="295">
        <v>0</v>
      </c>
      <c r="N252" s="295">
        <v>15491.404045930001</v>
      </c>
      <c r="O252" s="295">
        <v>368209.61936712224</v>
      </c>
      <c r="P252" s="295">
        <v>5138752.525072482</v>
      </c>
      <c r="Q252" s="279" t="s">
        <v>37</v>
      </c>
    </row>
    <row r="253" spans="1:17" s="254" customFormat="1" ht="12.75">
      <c r="A253" s="89"/>
      <c r="B253" s="124"/>
      <c r="C253" s="242"/>
      <c r="D253" s="242"/>
      <c r="E253" s="242"/>
      <c r="F253" s="242"/>
      <c r="G253" s="242"/>
      <c r="H253" s="251"/>
      <c r="I253" s="242"/>
      <c r="J253" s="242"/>
      <c r="K253" s="242"/>
      <c r="L253" s="242"/>
      <c r="M253" s="242"/>
      <c r="N253" s="242"/>
      <c r="O253" s="242"/>
      <c r="P253" s="242"/>
      <c r="Q253" s="89"/>
    </row>
    <row r="254" spans="1:17" s="254" customFormat="1" ht="12.75">
      <c r="A254" s="260">
        <v>2015</v>
      </c>
      <c r="B254" s="124"/>
      <c r="C254" s="242"/>
      <c r="D254" s="242"/>
      <c r="E254" s="242"/>
      <c r="F254" s="242"/>
      <c r="G254" s="242"/>
      <c r="H254" s="251"/>
      <c r="I254" s="242"/>
      <c r="J254" s="242"/>
      <c r="K254" s="242"/>
      <c r="L254" s="242"/>
      <c r="M254" s="242"/>
      <c r="N254" s="242"/>
      <c r="O254" s="242"/>
      <c r="P254" s="242"/>
      <c r="Q254" s="260">
        <v>2015</v>
      </c>
    </row>
    <row r="255" spans="1:17" s="254" customFormat="1" ht="12.75">
      <c r="A255" s="89" t="s">
        <v>25</v>
      </c>
      <c r="B255" s="124">
        <f aca="true" t="shared" si="24" ref="B255:B274">C255+D255</f>
        <v>377940.40064452996</v>
      </c>
      <c r="C255" s="242">
        <v>95725.85346258999</v>
      </c>
      <c r="D255" s="242">
        <v>282214.54718193994</v>
      </c>
      <c r="E255" s="242">
        <v>1306089.7935278444</v>
      </c>
      <c r="F255" s="242">
        <v>1726047.62750949</v>
      </c>
      <c r="G255" s="242">
        <v>1637423.02100873</v>
      </c>
      <c r="H255" s="251">
        <v>0</v>
      </c>
      <c r="I255" s="242">
        <v>0</v>
      </c>
      <c r="J255" s="242">
        <v>198711.67633458</v>
      </c>
      <c r="K255" s="242">
        <v>1038474.1215256937</v>
      </c>
      <c r="L255" s="242">
        <v>39937.737127790024</v>
      </c>
      <c r="M255" s="242">
        <v>0</v>
      </c>
      <c r="N255" s="242">
        <v>16854.191940840163</v>
      </c>
      <c r="O255" s="242">
        <v>393266.859740923</v>
      </c>
      <c r="P255" s="242">
        <v>5097322.408351691</v>
      </c>
      <c r="Q255" s="89" t="s">
        <v>25</v>
      </c>
    </row>
    <row r="256" spans="1:17" s="254" customFormat="1" ht="12.75">
      <c r="A256" s="89" t="s">
        <v>26</v>
      </c>
      <c r="B256" s="124">
        <f t="shared" si="24"/>
        <v>377211.07773051085</v>
      </c>
      <c r="C256" s="242">
        <v>108203.38786388</v>
      </c>
      <c r="D256" s="242">
        <v>269007.6898666308</v>
      </c>
      <c r="E256" s="242">
        <v>1307973.9566338884</v>
      </c>
      <c r="F256" s="242">
        <v>1762438.17206741</v>
      </c>
      <c r="G256" s="242">
        <v>1675588.30109122</v>
      </c>
      <c r="H256" s="251">
        <v>0</v>
      </c>
      <c r="I256" s="242">
        <v>0</v>
      </c>
      <c r="J256" s="242">
        <v>195364.67314556</v>
      </c>
      <c r="K256" s="242">
        <v>1016989.3877510745</v>
      </c>
      <c r="L256" s="242">
        <v>44282.3100268</v>
      </c>
      <c r="M256" s="242">
        <v>0</v>
      </c>
      <c r="N256" s="242">
        <v>19953.41784641</v>
      </c>
      <c r="O256" s="242">
        <v>384747.34222157917</v>
      </c>
      <c r="P256" s="242">
        <v>5108960.337423233</v>
      </c>
      <c r="Q256" s="89" t="s">
        <v>26</v>
      </c>
    </row>
    <row r="257" spans="1:17" s="254" customFormat="1" ht="12.75">
      <c r="A257" s="89" t="s">
        <v>27</v>
      </c>
      <c r="B257" s="124">
        <f t="shared" si="24"/>
        <v>374093.4822136846</v>
      </c>
      <c r="C257" s="242">
        <v>139108.88183101467</v>
      </c>
      <c r="D257" s="242">
        <v>234984.60038266995</v>
      </c>
      <c r="E257" s="242">
        <v>1317036.6393786464</v>
      </c>
      <c r="F257" s="242">
        <v>1740823.89149892</v>
      </c>
      <c r="G257" s="242">
        <v>1658639.47095777</v>
      </c>
      <c r="H257" s="251">
        <v>0</v>
      </c>
      <c r="I257" s="242">
        <v>0</v>
      </c>
      <c r="J257" s="242">
        <v>190267.16357238</v>
      </c>
      <c r="K257" s="242">
        <v>1036527.4573574864</v>
      </c>
      <c r="L257" s="242">
        <v>42473.72340522</v>
      </c>
      <c r="M257" s="242">
        <v>0</v>
      </c>
      <c r="N257" s="242">
        <v>16043.33051878</v>
      </c>
      <c r="O257" s="242">
        <v>381687.7335775556</v>
      </c>
      <c r="P257" s="242">
        <v>5098953.421522672</v>
      </c>
      <c r="Q257" s="89" t="s">
        <v>27</v>
      </c>
    </row>
    <row r="258" spans="1:17" s="254" customFormat="1" ht="12.75">
      <c r="A258" s="89" t="s">
        <v>28</v>
      </c>
      <c r="B258" s="124">
        <f t="shared" si="24"/>
        <v>427739.86207268725</v>
      </c>
      <c r="C258" s="242">
        <v>128580.35664863721</v>
      </c>
      <c r="D258" s="242">
        <v>299159.50542405003</v>
      </c>
      <c r="E258" s="242">
        <v>1335511.4695725176</v>
      </c>
      <c r="F258" s="242">
        <v>1751643.0893862701</v>
      </c>
      <c r="G258" s="242">
        <v>1669707.45110926</v>
      </c>
      <c r="H258" s="251">
        <v>0</v>
      </c>
      <c r="I258" s="242">
        <v>0</v>
      </c>
      <c r="J258" s="242">
        <v>188971.73212365003</v>
      </c>
      <c r="K258" s="242">
        <v>1051982.3621657009</v>
      </c>
      <c r="L258" s="242">
        <v>48319.75232398298</v>
      </c>
      <c r="M258" s="242">
        <v>0</v>
      </c>
      <c r="N258" s="242">
        <v>21405.487395440003</v>
      </c>
      <c r="O258" s="242">
        <v>378078.34619732096</v>
      </c>
      <c r="P258" s="242">
        <v>5203652.10123757</v>
      </c>
      <c r="Q258" s="89" t="s">
        <v>28</v>
      </c>
    </row>
    <row r="259" spans="1:17" s="254" customFormat="1" ht="12.75">
      <c r="A259" s="89" t="s">
        <v>29</v>
      </c>
      <c r="B259" s="124">
        <f t="shared" si="24"/>
        <v>481023.62783809996</v>
      </c>
      <c r="C259" s="242">
        <v>114486.88520524002</v>
      </c>
      <c r="D259" s="242">
        <v>366536.74263285997</v>
      </c>
      <c r="E259" s="242">
        <v>1214022.1339579546</v>
      </c>
      <c r="F259" s="242">
        <v>1794468.2733445899</v>
      </c>
      <c r="G259" s="242">
        <v>1711831.70132473</v>
      </c>
      <c r="H259" s="251">
        <v>0</v>
      </c>
      <c r="I259" s="242">
        <v>0</v>
      </c>
      <c r="J259" s="242">
        <v>191600.74949044</v>
      </c>
      <c r="K259" s="242">
        <v>1038754.6030320607</v>
      </c>
      <c r="L259" s="242">
        <v>47149.29826294447</v>
      </c>
      <c r="M259" s="242">
        <v>0</v>
      </c>
      <c r="N259" s="242">
        <v>19860.902833796306</v>
      </c>
      <c r="O259" s="242">
        <v>416693.11584030115</v>
      </c>
      <c r="P259" s="242">
        <v>5203572.704600187</v>
      </c>
      <c r="Q259" s="89" t="s">
        <v>29</v>
      </c>
    </row>
    <row r="260" spans="1:17" s="254" customFormat="1" ht="12.75">
      <c r="A260" s="89" t="s">
        <v>30</v>
      </c>
      <c r="B260" s="124">
        <f t="shared" si="24"/>
        <v>611561.05654233</v>
      </c>
      <c r="C260" s="242">
        <v>128821.56465171</v>
      </c>
      <c r="D260" s="242">
        <v>482739.4918906199</v>
      </c>
      <c r="E260" s="242">
        <v>1175140.2071009458</v>
      </c>
      <c r="F260" s="242">
        <v>1825445.26976793</v>
      </c>
      <c r="G260" s="242">
        <v>1743461.14949531</v>
      </c>
      <c r="H260" s="251">
        <v>0</v>
      </c>
      <c r="I260" s="242">
        <v>0</v>
      </c>
      <c r="J260" s="242">
        <v>183137.04968688</v>
      </c>
      <c r="K260" s="242">
        <v>1027378.2327449658</v>
      </c>
      <c r="L260" s="242">
        <v>47596.60454099601</v>
      </c>
      <c r="M260" s="242">
        <v>0</v>
      </c>
      <c r="N260" s="242">
        <v>13203.59481016696</v>
      </c>
      <c r="O260" s="242">
        <v>421683.0466697844</v>
      </c>
      <c r="P260" s="242">
        <v>5305145.061863999</v>
      </c>
      <c r="Q260" s="89" t="s">
        <v>30</v>
      </c>
    </row>
    <row r="261" spans="1:17" s="254" customFormat="1" ht="12.75">
      <c r="A261" s="89" t="s">
        <v>31</v>
      </c>
      <c r="B261" s="124">
        <f t="shared" si="24"/>
        <v>567442.52765243</v>
      </c>
      <c r="C261" s="242">
        <v>129791.16581452</v>
      </c>
      <c r="D261" s="242">
        <v>437651.36183790996</v>
      </c>
      <c r="E261" s="242">
        <v>1138589.0139183425</v>
      </c>
      <c r="F261" s="242">
        <v>1916544.5516093804</v>
      </c>
      <c r="G261" s="242">
        <v>1832921.1506093803</v>
      </c>
      <c r="H261" s="251">
        <v>0</v>
      </c>
      <c r="I261" s="242">
        <v>0</v>
      </c>
      <c r="J261" s="242">
        <v>186064.56700496</v>
      </c>
      <c r="K261" s="242">
        <v>1046647.8385244429</v>
      </c>
      <c r="L261" s="242">
        <v>50586.44171468439</v>
      </c>
      <c r="M261" s="242">
        <v>0</v>
      </c>
      <c r="N261" s="242">
        <v>17408.074944761884</v>
      </c>
      <c r="O261" s="242">
        <v>410388.66845536156</v>
      </c>
      <c r="P261" s="242">
        <v>5333671.683824364</v>
      </c>
      <c r="Q261" s="89" t="s">
        <v>31</v>
      </c>
    </row>
    <row r="262" spans="1:17" s="254" customFormat="1" ht="12.75">
      <c r="A262" s="89" t="s">
        <v>32</v>
      </c>
      <c r="B262" s="124">
        <f t="shared" si="24"/>
        <v>505701.6261702954</v>
      </c>
      <c r="C262" s="242">
        <v>132500.24213712997</v>
      </c>
      <c r="D262" s="242">
        <v>373201.38403316546</v>
      </c>
      <c r="E262" s="242">
        <v>1132387.8387141018</v>
      </c>
      <c r="F262" s="242">
        <v>1966511.7135601102</v>
      </c>
      <c r="G262" s="242">
        <v>1884939.7998101101</v>
      </c>
      <c r="H262" s="251">
        <v>0</v>
      </c>
      <c r="I262" s="242">
        <v>0</v>
      </c>
      <c r="J262" s="242">
        <v>182425.02750177</v>
      </c>
      <c r="K262" s="242">
        <v>1085356.8396122516</v>
      </c>
      <c r="L262" s="242">
        <v>50575.51836173001</v>
      </c>
      <c r="M262" s="242">
        <v>0</v>
      </c>
      <c r="N262" s="242">
        <v>17228.623246709998</v>
      </c>
      <c r="O262" s="242">
        <v>442201.9894618868</v>
      </c>
      <c r="P262" s="242">
        <v>5382389.176628855</v>
      </c>
      <c r="Q262" s="89" t="s">
        <v>32</v>
      </c>
    </row>
    <row r="263" spans="1:17" s="254" customFormat="1" ht="12.75">
      <c r="A263" s="89" t="s">
        <v>33</v>
      </c>
      <c r="B263" s="124">
        <f t="shared" si="24"/>
        <v>531971.2804672</v>
      </c>
      <c r="C263" s="242">
        <v>140213.64243757</v>
      </c>
      <c r="D263" s="242">
        <v>391757.63802962995</v>
      </c>
      <c r="E263" s="242">
        <v>1265851.1751445942</v>
      </c>
      <c r="F263" s="242">
        <v>2020008.7595576202</v>
      </c>
      <c r="G263" s="242">
        <v>1941784.20080762</v>
      </c>
      <c r="H263" s="251">
        <v>0</v>
      </c>
      <c r="I263" s="242">
        <v>0</v>
      </c>
      <c r="J263" s="242">
        <v>177135.81699588</v>
      </c>
      <c r="K263" s="242">
        <v>1088183.6820693007</v>
      </c>
      <c r="L263" s="242">
        <v>54383.9663126875</v>
      </c>
      <c r="M263" s="242">
        <v>0</v>
      </c>
      <c r="N263" s="242">
        <v>16445.96609591925</v>
      </c>
      <c r="O263" s="242">
        <v>473140.3335503782</v>
      </c>
      <c r="P263" s="242">
        <v>5627120.9801935805</v>
      </c>
      <c r="Q263" s="89" t="s">
        <v>33</v>
      </c>
    </row>
    <row r="264" spans="1:17" s="254" customFormat="1" ht="12.75">
      <c r="A264" s="89" t="s">
        <v>35</v>
      </c>
      <c r="B264" s="124">
        <f t="shared" si="24"/>
        <v>496976.88819258</v>
      </c>
      <c r="C264" s="242">
        <v>124138.52906185</v>
      </c>
      <c r="D264" s="242">
        <v>372838.35913073004</v>
      </c>
      <c r="E264" s="242">
        <v>1315413.61763916</v>
      </c>
      <c r="F264" s="242">
        <v>2068199.0954523</v>
      </c>
      <c r="G264" s="242">
        <v>1989807.4007023</v>
      </c>
      <c r="H264" s="251">
        <v>0</v>
      </c>
      <c r="I264" s="242">
        <v>0</v>
      </c>
      <c r="J264" s="242">
        <v>173436.97912108</v>
      </c>
      <c r="K264" s="242">
        <v>1088727.67618305</v>
      </c>
      <c r="L264" s="242">
        <v>50718.800600477494</v>
      </c>
      <c r="M264" s="242">
        <v>0</v>
      </c>
      <c r="N264" s="242">
        <v>26901.367866659242</v>
      </c>
      <c r="O264" s="242">
        <v>407614.9295539959</v>
      </c>
      <c r="P264" s="242">
        <v>5627989.354609302</v>
      </c>
      <c r="Q264" s="89" t="s">
        <v>35</v>
      </c>
    </row>
    <row r="265" spans="1:17" s="254" customFormat="1" ht="12.75">
      <c r="A265" s="89" t="s">
        <v>36</v>
      </c>
      <c r="B265" s="124">
        <f t="shared" si="24"/>
        <v>513422.2616616949</v>
      </c>
      <c r="C265" s="242">
        <v>143621.58188026497</v>
      </c>
      <c r="D265" s="242">
        <v>369800.67978142994</v>
      </c>
      <c r="E265" s="242">
        <v>1362067.770586636</v>
      </c>
      <c r="F265" s="242">
        <v>2052807.8433392998</v>
      </c>
      <c r="G265" s="242">
        <v>1974383.8139594998</v>
      </c>
      <c r="H265" s="251">
        <v>0</v>
      </c>
      <c r="I265" s="242">
        <v>0</v>
      </c>
      <c r="J265" s="242">
        <v>175923.94079767002</v>
      </c>
      <c r="K265" s="242">
        <v>1101635.5457957014</v>
      </c>
      <c r="L265" s="242">
        <v>55848.21338189</v>
      </c>
      <c r="M265" s="242">
        <v>0</v>
      </c>
      <c r="N265" s="242">
        <v>22708.60611554</v>
      </c>
      <c r="O265" s="242">
        <v>404972.5791300739</v>
      </c>
      <c r="P265" s="242">
        <v>5689386.760808506</v>
      </c>
      <c r="Q265" s="89" t="s">
        <v>36</v>
      </c>
    </row>
    <row r="266" spans="1:17" s="254" customFormat="1" ht="12.75">
      <c r="A266" s="89" t="s">
        <v>37</v>
      </c>
      <c r="B266" s="124">
        <f t="shared" si="24"/>
        <v>499360.0117593899</v>
      </c>
      <c r="C266" s="242">
        <v>180217.36241827</v>
      </c>
      <c r="D266" s="242">
        <v>319142.6493411199</v>
      </c>
      <c r="E266" s="242">
        <v>1359379.348591781</v>
      </c>
      <c r="F266" s="242">
        <v>2028172.64892538</v>
      </c>
      <c r="G266" s="242">
        <v>1943444.80009521</v>
      </c>
      <c r="H266" s="251">
        <v>3000</v>
      </c>
      <c r="I266" s="242">
        <v>0</v>
      </c>
      <c r="J266" s="242">
        <v>181798.49944687</v>
      </c>
      <c r="K266" s="242">
        <v>1060822.9369208182</v>
      </c>
      <c r="L266" s="242">
        <v>39821.00034934</v>
      </c>
      <c r="M266" s="242">
        <v>0</v>
      </c>
      <c r="N266" s="242">
        <v>30754.204916210005</v>
      </c>
      <c r="O266" s="242">
        <v>419381.0737899238</v>
      </c>
      <c r="P266" s="242">
        <v>5619489.724699712</v>
      </c>
      <c r="Q266" s="89" t="s">
        <v>37</v>
      </c>
    </row>
    <row r="267" spans="1:17" s="254" customFormat="1" ht="12.75">
      <c r="A267" s="89"/>
      <c r="B267" s="124"/>
      <c r="C267" s="242"/>
      <c r="D267" s="242"/>
      <c r="E267" s="242"/>
      <c r="F267" s="242"/>
      <c r="G267" s="242"/>
      <c r="H267" s="251"/>
      <c r="I267" s="242"/>
      <c r="J267" s="242"/>
      <c r="K267" s="242"/>
      <c r="L267" s="242"/>
      <c r="M267" s="242"/>
      <c r="N267" s="242"/>
      <c r="O267" s="242"/>
      <c r="P267" s="242"/>
      <c r="Q267" s="89"/>
    </row>
    <row r="268" spans="1:17" s="254" customFormat="1" ht="12.75">
      <c r="A268" s="260">
        <v>2016</v>
      </c>
      <c r="B268" s="124"/>
      <c r="C268" s="242"/>
      <c r="D268" s="242"/>
      <c r="E268" s="242"/>
      <c r="F268" s="242"/>
      <c r="G268" s="242"/>
      <c r="H268" s="251"/>
      <c r="I268" s="242"/>
      <c r="J268" s="242"/>
      <c r="K268" s="242"/>
      <c r="L268" s="242"/>
      <c r="M268" s="242"/>
      <c r="N268" s="242"/>
      <c r="O268" s="242"/>
      <c r="P268" s="242"/>
      <c r="Q268" s="260">
        <v>2016</v>
      </c>
    </row>
    <row r="269" spans="1:17" s="254" customFormat="1" ht="12.75">
      <c r="A269" s="89" t="s">
        <v>25</v>
      </c>
      <c r="B269" s="124">
        <f t="shared" si="24"/>
        <v>553014.00940652</v>
      </c>
      <c r="C269" s="242">
        <v>131381.38832161</v>
      </c>
      <c r="D269" s="242">
        <v>421632.62108491</v>
      </c>
      <c r="E269" s="242">
        <v>1399767.2638704171</v>
      </c>
      <c r="F269" s="242">
        <v>2023637.57675</v>
      </c>
      <c r="G269" s="242">
        <v>1931977.15</v>
      </c>
      <c r="H269" s="251">
        <v>10000</v>
      </c>
      <c r="I269" s="242">
        <v>0</v>
      </c>
      <c r="J269" s="242">
        <v>183883.19985672</v>
      </c>
      <c r="K269" s="242">
        <v>1088545.2180799555</v>
      </c>
      <c r="L269" s="242">
        <v>47980.098033539995</v>
      </c>
      <c r="M269" s="242">
        <v>0</v>
      </c>
      <c r="N269" s="242">
        <v>29148.993551940224</v>
      </c>
      <c r="O269" s="242">
        <v>444639.9144596384</v>
      </c>
      <c r="P269" s="242">
        <v>5770616.274008731</v>
      </c>
      <c r="Q269" s="89" t="s">
        <v>25</v>
      </c>
    </row>
    <row r="270" spans="1:17" s="254" customFormat="1" ht="12.75">
      <c r="A270" s="89" t="s">
        <v>26</v>
      </c>
      <c r="B270" s="124">
        <f t="shared" si="24"/>
        <v>568091.47256939</v>
      </c>
      <c r="C270" s="242">
        <v>160667.53481709998</v>
      </c>
      <c r="D270" s="242">
        <v>407423.93775228993</v>
      </c>
      <c r="E270" s="242">
        <v>1445097.6690270575</v>
      </c>
      <c r="F270" s="242">
        <v>2050902.6033511302</v>
      </c>
      <c r="G270" s="242">
        <v>1952023.50060113</v>
      </c>
      <c r="H270" s="251">
        <v>10037</v>
      </c>
      <c r="I270" s="242">
        <v>0</v>
      </c>
      <c r="J270" s="242">
        <v>190125.36000381</v>
      </c>
      <c r="K270" s="242">
        <v>1093224.5612053906</v>
      </c>
      <c r="L270" s="242">
        <v>55045.04642659999</v>
      </c>
      <c r="M270" s="242">
        <v>0</v>
      </c>
      <c r="N270" s="242">
        <v>29357.177209884776</v>
      </c>
      <c r="O270" s="242">
        <v>437989.87305578374</v>
      </c>
      <c r="P270" s="242">
        <v>5869833.762849047</v>
      </c>
      <c r="Q270" s="89" t="s">
        <v>26</v>
      </c>
    </row>
    <row r="271" spans="1:17" s="254" customFormat="1" ht="12.75">
      <c r="A271" s="89" t="s">
        <v>27</v>
      </c>
      <c r="B271" s="124">
        <f t="shared" si="24"/>
        <v>521341.93810425</v>
      </c>
      <c r="C271" s="242">
        <v>174321.19282812</v>
      </c>
      <c r="D271" s="242">
        <v>347020.74527613004</v>
      </c>
      <c r="E271" s="242">
        <v>1465153.3238916493</v>
      </c>
      <c r="F271" s="242">
        <v>2116429.57535113</v>
      </c>
      <c r="G271" s="242">
        <v>2017610.00060113</v>
      </c>
      <c r="H271" s="251">
        <v>10037</v>
      </c>
      <c r="I271" s="242">
        <v>0</v>
      </c>
      <c r="J271" s="242">
        <v>190547.94317548</v>
      </c>
      <c r="K271" s="242">
        <v>1124651.6945743246</v>
      </c>
      <c r="L271" s="242">
        <v>50052.703180209995</v>
      </c>
      <c r="M271" s="242">
        <v>0</v>
      </c>
      <c r="N271" s="242">
        <v>29244.588178806593</v>
      </c>
      <c r="O271" s="242">
        <v>433308.929133814</v>
      </c>
      <c r="P271" s="242">
        <v>5930730.695589663</v>
      </c>
      <c r="Q271" s="89" t="s">
        <v>27</v>
      </c>
    </row>
    <row r="272" spans="1:17" s="254" customFormat="1" ht="12.75">
      <c r="A272" s="89" t="s">
        <v>28</v>
      </c>
      <c r="B272" s="124">
        <f t="shared" si="24"/>
        <v>500843.89643691</v>
      </c>
      <c r="C272" s="242">
        <v>145058.09713871</v>
      </c>
      <c r="D272" s="242">
        <v>355785.7992982</v>
      </c>
      <c r="E272" s="242">
        <v>1463102.5795443656</v>
      </c>
      <c r="F272" s="242">
        <v>2142821.63975</v>
      </c>
      <c r="G272" s="242">
        <v>2046426.8</v>
      </c>
      <c r="H272" s="251">
        <v>10037</v>
      </c>
      <c r="I272" s="242">
        <v>0</v>
      </c>
      <c r="J272" s="242">
        <v>186524.71830821</v>
      </c>
      <c r="K272" s="242">
        <v>1165228.9823763527</v>
      </c>
      <c r="L272" s="242">
        <v>48300.08637138</v>
      </c>
      <c r="M272" s="242">
        <v>0</v>
      </c>
      <c r="N272" s="242">
        <v>38231.63275875951</v>
      </c>
      <c r="O272" s="242">
        <v>463298.60310389294</v>
      </c>
      <c r="P272" s="242">
        <v>6008352.13864987</v>
      </c>
      <c r="Q272" s="89" t="s">
        <v>28</v>
      </c>
    </row>
    <row r="273" spans="1:17" s="254" customFormat="1" ht="12.75">
      <c r="A273" s="89" t="s">
        <v>29</v>
      </c>
      <c r="B273" s="124">
        <f t="shared" si="24"/>
        <v>534683.93383422</v>
      </c>
      <c r="C273" s="242">
        <v>167789.31779626</v>
      </c>
      <c r="D273" s="242">
        <v>366894.61603796005</v>
      </c>
      <c r="E273" s="242">
        <v>1504090.5887620605</v>
      </c>
      <c r="F273" s="242">
        <v>2172563.6021863</v>
      </c>
      <c r="G273" s="242">
        <v>2071241.05</v>
      </c>
      <c r="H273" s="251">
        <v>10037</v>
      </c>
      <c r="I273" s="242">
        <v>0</v>
      </c>
      <c r="J273" s="242">
        <v>186529.86920622</v>
      </c>
      <c r="K273" s="242">
        <v>1167430.1436105154</v>
      </c>
      <c r="L273" s="242">
        <v>42616.22326283</v>
      </c>
      <c r="M273" s="242">
        <v>0</v>
      </c>
      <c r="N273" s="242">
        <v>31921.416103081454</v>
      </c>
      <c r="O273" s="242">
        <v>441679.9636545851</v>
      </c>
      <c r="P273" s="242">
        <v>6081515.740619813</v>
      </c>
      <c r="Q273" s="89" t="s">
        <v>29</v>
      </c>
    </row>
    <row r="274" spans="1:17" s="254" customFormat="1" ht="12.75">
      <c r="A274" s="89" t="s">
        <v>30</v>
      </c>
      <c r="B274" s="124">
        <f t="shared" si="24"/>
        <v>503930.7405448201</v>
      </c>
      <c r="C274" s="242">
        <v>143338.87259705</v>
      </c>
      <c r="D274" s="242">
        <v>360591.86794777005</v>
      </c>
      <c r="E274" s="242">
        <v>1523098.5533920168</v>
      </c>
      <c r="F274" s="242">
        <v>2215801.6281863</v>
      </c>
      <c r="G274" s="242">
        <v>2113463.3000000003</v>
      </c>
      <c r="H274" s="251">
        <v>10037</v>
      </c>
      <c r="I274" s="242">
        <v>0</v>
      </c>
      <c r="J274" s="242">
        <v>188298.90611296</v>
      </c>
      <c r="K274" s="242">
        <v>1179577.7565820601</v>
      </c>
      <c r="L274" s="242">
        <v>55712.186046740004</v>
      </c>
      <c r="M274" s="242">
        <v>0</v>
      </c>
      <c r="N274" s="242">
        <v>23652.892233654064</v>
      </c>
      <c r="O274" s="242">
        <v>445615.6602353485</v>
      </c>
      <c r="P274" s="242">
        <v>6135688.3233338995</v>
      </c>
      <c r="Q274" s="89" t="s">
        <v>30</v>
      </c>
    </row>
    <row r="275" spans="1:17" s="254" customFormat="1" ht="12.75">
      <c r="A275" s="89" t="s">
        <v>31</v>
      </c>
      <c r="B275" s="124">
        <f>C275+D275</f>
        <v>546429</v>
      </c>
      <c r="C275" s="242">
        <v>164282</v>
      </c>
      <c r="D275" s="242">
        <v>382147</v>
      </c>
      <c r="E275" s="242">
        <v>1540862</v>
      </c>
      <c r="F275" s="242">
        <v>2271896</v>
      </c>
      <c r="G275" s="242">
        <v>2168953</v>
      </c>
      <c r="H275" s="251">
        <v>10037</v>
      </c>
      <c r="I275" s="242">
        <v>0</v>
      </c>
      <c r="J275" s="242">
        <v>188519</v>
      </c>
      <c r="K275" s="242">
        <v>1191004</v>
      </c>
      <c r="L275" s="242">
        <v>46305</v>
      </c>
      <c r="M275" s="242">
        <v>0</v>
      </c>
      <c r="N275" s="242">
        <v>31005</v>
      </c>
      <c r="O275" s="242">
        <v>448665</v>
      </c>
      <c r="P275" s="242">
        <v>6264685</v>
      </c>
      <c r="Q275" s="89" t="s">
        <v>31</v>
      </c>
    </row>
    <row r="276" spans="1:17" s="254" customFormat="1" ht="12.75">
      <c r="A276" s="89" t="s">
        <v>32</v>
      </c>
      <c r="B276" s="124">
        <f>C276+D276</f>
        <v>508184</v>
      </c>
      <c r="C276" s="242">
        <v>186910</v>
      </c>
      <c r="D276" s="242">
        <v>321274</v>
      </c>
      <c r="E276" s="242">
        <v>1505772</v>
      </c>
      <c r="F276" s="242">
        <v>2339698</v>
      </c>
      <c r="G276" s="242">
        <v>2234987</v>
      </c>
      <c r="H276" s="251">
        <v>10037</v>
      </c>
      <c r="I276" s="242">
        <v>0</v>
      </c>
      <c r="J276" s="242">
        <v>181027</v>
      </c>
      <c r="K276" s="242">
        <v>1192735</v>
      </c>
      <c r="L276" s="242">
        <v>33935</v>
      </c>
      <c r="M276" s="242">
        <v>0</v>
      </c>
      <c r="N276" s="242">
        <v>17137</v>
      </c>
      <c r="O276" s="242">
        <v>463315</v>
      </c>
      <c r="P276" s="242">
        <v>6241804</v>
      </c>
      <c r="Q276" s="89" t="s">
        <v>32</v>
      </c>
    </row>
    <row r="277" spans="1:17" s="254" customFormat="1" ht="12.75">
      <c r="A277" s="89" t="s">
        <v>33</v>
      </c>
      <c r="B277" s="124">
        <f>C277+D277</f>
        <v>480278</v>
      </c>
      <c r="C277" s="242">
        <v>144901</v>
      </c>
      <c r="D277" s="242">
        <v>335377</v>
      </c>
      <c r="E277" s="242">
        <v>1625751</v>
      </c>
      <c r="F277" s="242">
        <v>2331865</v>
      </c>
      <c r="G277" s="242">
        <v>2226775</v>
      </c>
      <c r="H277" s="251">
        <v>10000</v>
      </c>
      <c r="I277" s="242">
        <v>0</v>
      </c>
      <c r="J277" s="242">
        <v>183383</v>
      </c>
      <c r="K277" s="242">
        <v>1220280</v>
      </c>
      <c r="L277" s="242">
        <v>32184</v>
      </c>
      <c r="M277" s="242">
        <v>0</v>
      </c>
      <c r="N277" s="242">
        <v>17426</v>
      </c>
      <c r="O277" s="242">
        <v>476957</v>
      </c>
      <c r="P277" s="242">
        <v>6368122</v>
      </c>
      <c r="Q277" s="89" t="s">
        <v>33</v>
      </c>
    </row>
    <row r="278" spans="1:17" s="254" customFormat="1" ht="12.75">
      <c r="A278" s="89" t="s">
        <v>35</v>
      </c>
      <c r="B278" s="124">
        <f>C278+D278</f>
        <v>0</v>
      </c>
      <c r="C278" s="242"/>
      <c r="D278" s="242"/>
      <c r="E278" s="242"/>
      <c r="F278" s="242"/>
      <c r="G278" s="242"/>
      <c r="H278" s="251"/>
      <c r="I278" s="242"/>
      <c r="J278" s="242"/>
      <c r="K278" s="242"/>
      <c r="L278" s="242"/>
      <c r="M278" s="242"/>
      <c r="N278" s="242"/>
      <c r="O278" s="242"/>
      <c r="P278" s="242"/>
      <c r="Q278" s="89" t="s">
        <v>35</v>
      </c>
    </row>
    <row r="279" spans="1:17" s="254" customFormat="1" ht="12.75">
      <c r="A279" s="89"/>
      <c r="B279" s="124"/>
      <c r="C279" s="242"/>
      <c r="D279" s="242"/>
      <c r="E279" s="242"/>
      <c r="F279" s="242"/>
      <c r="G279" s="242"/>
      <c r="H279" s="251"/>
      <c r="I279" s="242"/>
      <c r="J279" s="242"/>
      <c r="K279" s="242"/>
      <c r="L279" s="242"/>
      <c r="M279" s="242"/>
      <c r="N279" s="242"/>
      <c r="O279" s="242"/>
      <c r="P279" s="242"/>
      <c r="Q279" s="89"/>
    </row>
    <row r="280" spans="1:17" s="254" customFormat="1" ht="12.75">
      <c r="A280" s="89"/>
      <c r="B280" s="124"/>
      <c r="C280" s="242"/>
      <c r="D280" s="242"/>
      <c r="E280" s="242"/>
      <c r="F280" s="242"/>
      <c r="G280" s="242"/>
      <c r="H280" s="251"/>
      <c r="I280" s="242"/>
      <c r="J280" s="242"/>
      <c r="K280" s="242"/>
      <c r="L280" s="242"/>
      <c r="M280" s="242"/>
      <c r="N280" s="242"/>
      <c r="O280" s="242"/>
      <c r="P280" s="242"/>
      <c r="Q280" s="89"/>
    </row>
    <row r="281" spans="1:17" s="254" customFormat="1" ht="12.75">
      <c r="A281" s="89"/>
      <c r="B281" s="124"/>
      <c r="C281" s="242"/>
      <c r="D281" s="242"/>
      <c r="E281" s="242"/>
      <c r="F281" s="242"/>
      <c r="G281" s="242"/>
      <c r="H281" s="251"/>
      <c r="I281" s="242"/>
      <c r="J281" s="242"/>
      <c r="K281" s="242"/>
      <c r="L281" s="242"/>
      <c r="M281" s="242"/>
      <c r="N281" s="242"/>
      <c r="O281" s="242"/>
      <c r="P281" s="242"/>
      <c r="Q281" s="89"/>
    </row>
    <row r="282" spans="1:27" s="275" customFormat="1" ht="15.75">
      <c r="A282" s="271" t="s">
        <v>247</v>
      </c>
      <c r="C282" s="272"/>
      <c r="D282" s="273"/>
      <c r="E282" s="273"/>
      <c r="F282" s="273"/>
      <c r="G282" s="273"/>
      <c r="H282" s="273"/>
      <c r="I282" s="273"/>
      <c r="J282" s="273"/>
      <c r="K282" s="273"/>
      <c r="L282" s="273"/>
      <c r="M282" s="274"/>
      <c r="N282" s="273"/>
      <c r="P282" s="272"/>
      <c r="Q282" s="272"/>
      <c r="R282" s="272"/>
      <c r="S282" s="272"/>
      <c r="T282" s="272"/>
      <c r="U282" s="272"/>
      <c r="V282" s="272"/>
      <c r="W282" s="272"/>
      <c r="X282" s="270"/>
      <c r="AA282" s="276"/>
    </row>
    <row r="283" spans="1:17" s="254" customFormat="1" ht="12.75">
      <c r="A283" s="89"/>
      <c r="B283" s="124"/>
      <c r="C283" s="242"/>
      <c r="D283" s="242"/>
      <c r="E283" s="242"/>
      <c r="F283" s="242"/>
      <c r="G283" s="242"/>
      <c r="H283" s="251"/>
      <c r="I283" s="242"/>
      <c r="J283" s="242"/>
      <c r="K283" s="242"/>
      <c r="L283" s="242"/>
      <c r="M283" s="242"/>
      <c r="N283" s="242"/>
      <c r="O283" s="242"/>
      <c r="P283" s="242"/>
      <c r="Q283" s="89"/>
    </row>
    <row r="284" spans="1:17" s="254" customFormat="1" ht="12.75">
      <c r="A284" s="89"/>
      <c r="B284" s="124"/>
      <c r="C284" s="242"/>
      <c r="D284" s="242"/>
      <c r="E284" s="242"/>
      <c r="F284" s="242"/>
      <c r="G284" s="242"/>
      <c r="H284" s="251"/>
      <c r="I284" s="242"/>
      <c r="J284" s="242"/>
      <c r="K284" s="242"/>
      <c r="L284" s="242"/>
      <c r="M284" s="242"/>
      <c r="N284" s="242"/>
      <c r="O284" s="242"/>
      <c r="P284" s="242"/>
      <c r="Q284" s="89"/>
    </row>
    <row r="285" spans="1:17" s="254" customFormat="1" ht="12.75">
      <c r="A285" s="89"/>
      <c r="B285" s="124"/>
      <c r="C285" s="242"/>
      <c r="D285" s="242"/>
      <c r="E285" s="242"/>
      <c r="F285" s="242"/>
      <c r="G285" s="242"/>
      <c r="H285" s="251"/>
      <c r="I285" s="242"/>
      <c r="J285" s="242"/>
      <c r="K285" s="242"/>
      <c r="L285" s="242"/>
      <c r="M285" s="242"/>
      <c r="N285" s="242"/>
      <c r="O285" s="242"/>
      <c r="P285" s="273"/>
      <c r="Q285" s="89"/>
    </row>
    <row r="286" s="106" customFormat="1" ht="15.75" customHeight="1">
      <c r="A286" s="81"/>
    </row>
    <row r="287" spans="1:17" s="106" customFormat="1" ht="12.75">
      <c r="A287" s="100"/>
      <c r="D287" s="106" t="s">
        <v>172</v>
      </c>
      <c r="H287" s="128"/>
      <c r="J287" s="106" t="s">
        <v>172</v>
      </c>
      <c r="Q287" s="100"/>
    </row>
    <row r="288" spans="1:17" s="106" customFormat="1" ht="12.75">
      <c r="A288" s="100"/>
      <c r="H288" s="128"/>
      <c r="Q288" s="100"/>
    </row>
    <row r="289" spans="1:17" s="106" customFormat="1" ht="12.75">
      <c r="A289" s="100"/>
      <c r="H289" s="128"/>
      <c r="L289" s="128"/>
      <c r="Q289" s="100"/>
    </row>
    <row r="290" spans="1:17" s="106" customFormat="1" ht="12.75">
      <c r="A290" s="100"/>
      <c r="H290" s="128"/>
      <c r="L290" s="128"/>
      <c r="Q290" s="100"/>
    </row>
    <row r="291" spans="1:17" s="106" customFormat="1" ht="12.75">
      <c r="A291" s="100"/>
      <c r="H291" s="128"/>
      <c r="L291" s="128"/>
      <c r="Q291" s="100"/>
    </row>
    <row r="292" spans="1:17" s="106" customFormat="1" ht="12.75">
      <c r="A292" s="100"/>
      <c r="H292" s="128"/>
      <c r="L292" s="128"/>
      <c r="Q292" s="100"/>
    </row>
    <row r="293" spans="1:17" s="106" customFormat="1" ht="12.75">
      <c r="A293" s="100"/>
      <c r="Q293" s="100"/>
    </row>
    <row r="294" spans="1:17" s="106" customFormat="1" ht="12.75">
      <c r="A294" s="100"/>
      <c r="Q294" s="100"/>
    </row>
    <row r="295" spans="1:17" s="106" customFormat="1" ht="12.75">
      <c r="A295" s="100"/>
      <c r="Q295" s="100"/>
    </row>
    <row r="296" spans="1:17" s="106" customFormat="1" ht="12.75">
      <c r="A296" s="100"/>
      <c r="Q296" s="100"/>
    </row>
    <row r="297" spans="1:17" s="106" customFormat="1" ht="12.75">
      <c r="A297" s="100"/>
      <c r="Q297" s="100"/>
    </row>
    <row r="298" spans="1:17" s="106" customFormat="1" ht="12.75">
      <c r="A298" s="100"/>
      <c r="Q298" s="100"/>
    </row>
    <row r="299" spans="1:17" s="106" customFormat="1" ht="12.75">
      <c r="A299" s="100"/>
      <c r="Q299" s="100"/>
    </row>
    <row r="300" spans="1:17" s="106" customFormat="1" ht="12.75">
      <c r="A300" s="100"/>
      <c r="Q300" s="100"/>
    </row>
    <row r="301" spans="1:17" s="106" customFormat="1" ht="12.75">
      <c r="A301" s="100"/>
      <c r="Q301" s="100"/>
    </row>
    <row r="302" spans="1:17" s="106" customFormat="1" ht="12.75">
      <c r="A302" s="100"/>
      <c r="Q302" s="100"/>
    </row>
    <row r="303" spans="1:17" s="106" customFormat="1" ht="12.75">
      <c r="A303" s="100"/>
      <c r="Q303" s="100"/>
    </row>
    <row r="304" spans="1:17" s="106" customFormat="1" ht="12.75">
      <c r="A304" s="100"/>
      <c r="Q304" s="100"/>
    </row>
    <row r="305" spans="1:17" s="106" customFormat="1" ht="12.75">
      <c r="A305" s="100"/>
      <c r="Q305" s="100"/>
    </row>
    <row r="306" spans="1:17" s="106" customFormat="1" ht="12.75">
      <c r="A306" s="100"/>
      <c r="Q306" s="100"/>
    </row>
    <row r="307" spans="1:17" s="106" customFormat="1" ht="12.75">
      <c r="A307" s="100"/>
      <c r="Q307" s="100"/>
    </row>
    <row r="308" spans="1:17" s="106" customFormat="1" ht="12.75">
      <c r="A308" s="100"/>
      <c r="Q308" s="100"/>
    </row>
    <row r="309" spans="1:17" s="106" customFormat="1" ht="12.75">
      <c r="A309" s="100"/>
      <c r="Q309" s="100"/>
    </row>
    <row r="310" spans="1:17" s="106" customFormat="1" ht="12.75">
      <c r="A310" s="100"/>
      <c r="Q310" s="100"/>
    </row>
    <row r="311" spans="1:17" s="106" customFormat="1" ht="12.75">
      <c r="A311" s="100"/>
      <c r="Q311" s="100"/>
    </row>
    <row r="312" spans="1:17" s="106" customFormat="1" ht="12.75">
      <c r="A312" s="100"/>
      <c r="Q312" s="100"/>
    </row>
    <row r="313" spans="1:17" s="106" customFormat="1" ht="12.75">
      <c r="A313" s="100"/>
      <c r="Q313" s="100"/>
    </row>
    <row r="314" spans="1:17" s="106" customFormat="1" ht="12.75">
      <c r="A314" s="100"/>
      <c r="Q314" s="100"/>
    </row>
    <row r="315" spans="1:17" s="106" customFormat="1" ht="12.75">
      <c r="A315" s="100"/>
      <c r="Q315" s="100"/>
    </row>
    <row r="316" spans="1:17" s="106" customFormat="1" ht="12.75">
      <c r="A316" s="100"/>
      <c r="Q316" s="100"/>
    </row>
    <row r="317" spans="1:17" s="106" customFormat="1" ht="12.75">
      <c r="A317" s="100"/>
      <c r="Q317" s="100"/>
    </row>
    <row r="318" spans="1:17" s="106" customFormat="1" ht="12.75">
      <c r="A318" s="100"/>
      <c r="Q318" s="100"/>
    </row>
    <row r="319" spans="1:17" s="106" customFormat="1" ht="12.75">
      <c r="A319" s="100"/>
      <c r="Q319" s="100"/>
    </row>
    <row r="320" spans="1:17" s="106" customFormat="1" ht="12.75">
      <c r="A320" s="100"/>
      <c r="Q320" s="100"/>
    </row>
    <row r="321" spans="1:17" s="106" customFormat="1" ht="12.75">
      <c r="A321" s="100"/>
      <c r="Q321" s="100"/>
    </row>
    <row r="322" spans="1:17" s="106" customFormat="1" ht="12.75">
      <c r="A322" s="100"/>
      <c r="Q322" s="100"/>
    </row>
    <row r="323" spans="1:17" s="106" customFormat="1" ht="12.75">
      <c r="A323" s="100"/>
      <c r="Q323" s="100"/>
    </row>
    <row r="324" spans="1:17" s="106" customFormat="1" ht="12.75">
      <c r="A324" s="100"/>
      <c r="Q324" s="100"/>
    </row>
    <row r="325" spans="1:17" s="106" customFormat="1" ht="15">
      <c r="A325" s="100"/>
      <c r="J325" s="48"/>
      <c r="K325" s="48"/>
      <c r="Q325" s="100"/>
    </row>
    <row r="326" spans="1:17" s="106" customFormat="1" ht="15">
      <c r="A326" s="100"/>
      <c r="B326" s="48"/>
      <c r="C326" s="48"/>
      <c r="D326" s="48"/>
      <c r="E326" s="48"/>
      <c r="J326" s="48"/>
      <c r="K326" s="48"/>
      <c r="L326" s="48"/>
      <c r="M326" s="48"/>
      <c r="N326" s="48"/>
      <c r="O326" s="48"/>
      <c r="P326" s="48"/>
      <c r="Q326" s="38"/>
    </row>
    <row r="327" spans="1:17" s="106" customFormat="1" ht="15">
      <c r="A327" s="3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38"/>
    </row>
    <row r="328" spans="1:17" s="106" customFormat="1" ht="15">
      <c r="A328" s="3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38"/>
    </row>
    <row r="329" spans="1:17" s="106" customFormat="1" ht="15">
      <c r="A329" s="3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38"/>
    </row>
    <row r="330" spans="1:17" s="106" customFormat="1" ht="15">
      <c r="A330" s="3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38"/>
    </row>
    <row r="331" spans="1:17" s="106" customFormat="1" ht="15">
      <c r="A331" s="3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38"/>
    </row>
    <row r="332" spans="1:17" s="106" customFormat="1" ht="15">
      <c r="A332" s="3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38"/>
    </row>
    <row r="333" spans="1:17" s="106" customFormat="1" ht="15">
      <c r="A333" s="3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38"/>
    </row>
    <row r="334" spans="1:17" s="106" customFormat="1" ht="15">
      <c r="A334" s="3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38"/>
    </row>
    <row r="335" spans="1:17" s="106" customFormat="1" ht="15">
      <c r="A335" s="3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38"/>
    </row>
    <row r="336" spans="1:17" s="106" customFormat="1" ht="15">
      <c r="A336" s="3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38"/>
    </row>
    <row r="337" spans="1:17" s="106" customFormat="1" ht="15">
      <c r="A337" s="3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38"/>
    </row>
    <row r="338" spans="1:17" s="106" customFormat="1" ht="15">
      <c r="A338" s="3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38"/>
    </row>
    <row r="339" spans="1:17" s="106" customFormat="1" ht="15">
      <c r="A339" s="38"/>
      <c r="B339" s="48"/>
      <c r="C339" s="48"/>
      <c r="D339" s="48"/>
      <c r="E339" s="48"/>
      <c r="F339" s="48"/>
      <c r="G339" s="48"/>
      <c r="H339" s="48"/>
      <c r="I339" s="48"/>
      <c r="J339" s="46"/>
      <c r="K339" s="46"/>
      <c r="L339" s="48"/>
      <c r="M339" s="48"/>
      <c r="N339" s="48"/>
      <c r="O339" s="48"/>
      <c r="P339" s="48"/>
      <c r="Q339" s="38"/>
    </row>
    <row r="340" spans="1:17" s="106" customFormat="1" ht="15">
      <c r="A340" s="38"/>
      <c r="B340" s="46"/>
      <c r="C340" s="46"/>
      <c r="D340" s="46"/>
      <c r="E340" s="46"/>
      <c r="F340" s="48"/>
      <c r="G340" s="48"/>
      <c r="H340" s="48"/>
      <c r="I340" s="48"/>
      <c r="J340" s="46"/>
      <c r="K340" s="46"/>
      <c r="L340" s="46"/>
      <c r="M340" s="46"/>
      <c r="N340" s="46"/>
      <c r="O340" s="46"/>
      <c r="P340" s="46"/>
      <c r="Q340" s="45"/>
    </row>
    <row r="341" spans="1:17" s="134" customFormat="1" ht="15">
      <c r="A341" s="45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5"/>
    </row>
    <row r="342" spans="1:17" s="134" customFormat="1" ht="15">
      <c r="A342" s="45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5"/>
    </row>
    <row r="343" spans="1:17" s="134" customFormat="1" ht="15">
      <c r="A343" s="45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5"/>
    </row>
    <row r="344" spans="1:17" s="134" customFormat="1" ht="15">
      <c r="A344" s="45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5"/>
    </row>
    <row r="345" spans="1:17" s="134" customFormat="1" ht="15">
      <c r="A345" s="45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5"/>
    </row>
    <row r="346" spans="1:17" s="134" customFormat="1" ht="15">
      <c r="A346" s="45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5"/>
    </row>
    <row r="347" spans="1:17" s="134" customFormat="1" ht="15">
      <c r="A347" s="45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5"/>
    </row>
    <row r="348" spans="1:17" s="134" customFormat="1" ht="15">
      <c r="A348" s="45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5"/>
    </row>
    <row r="349" spans="1:17" s="134" customFormat="1" ht="15">
      <c r="A349" s="45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5"/>
    </row>
    <row r="350" spans="1:17" s="134" customFormat="1" ht="15">
      <c r="A350" s="45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5"/>
    </row>
    <row r="351" spans="1:17" s="134" customFormat="1" ht="15">
      <c r="A351" s="45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5"/>
    </row>
    <row r="352" spans="1:17" s="134" customFormat="1" ht="15">
      <c r="A352" s="45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5"/>
    </row>
    <row r="353" spans="1:17" s="134" customFormat="1" ht="15">
      <c r="A353" s="45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5"/>
    </row>
    <row r="354" spans="1:17" s="134" customFormat="1" ht="15">
      <c r="A354" s="45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5"/>
    </row>
    <row r="355" spans="1:17" s="134" customFormat="1" ht="15">
      <c r="A355" s="45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5"/>
    </row>
    <row r="356" spans="1:17" s="134" customFormat="1" ht="15">
      <c r="A356" s="45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5"/>
    </row>
    <row r="357" spans="1:17" s="134" customFormat="1" ht="15">
      <c r="A357" s="45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5"/>
    </row>
    <row r="358" spans="1:17" s="134" customFormat="1" ht="15">
      <c r="A358" s="45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5"/>
    </row>
    <row r="359" spans="1:17" s="134" customFormat="1" ht="15">
      <c r="A359" s="45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5"/>
    </row>
    <row r="360" spans="1:17" s="134" customFormat="1" ht="15">
      <c r="A360" s="45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5"/>
    </row>
    <row r="361" spans="1:17" s="134" customFormat="1" ht="15">
      <c r="A361" s="45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5"/>
    </row>
    <row r="362" spans="1:17" s="134" customFormat="1" ht="15">
      <c r="A362" s="45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5"/>
    </row>
    <row r="363" spans="1:17" s="134" customFormat="1" ht="15">
      <c r="A363" s="45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5"/>
    </row>
    <row r="364" spans="1:17" s="134" customFormat="1" ht="15">
      <c r="A364" s="45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5"/>
    </row>
    <row r="365" spans="1:17" s="134" customFormat="1" ht="15">
      <c r="A365" s="45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5"/>
    </row>
    <row r="366" spans="1:17" s="134" customFormat="1" ht="15">
      <c r="A366" s="45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5"/>
    </row>
    <row r="367" spans="1:17" s="134" customFormat="1" ht="15">
      <c r="A367" s="45"/>
      <c r="B367" s="46"/>
      <c r="C367" s="46"/>
      <c r="D367" s="46"/>
      <c r="E367" s="46"/>
      <c r="F367" s="46"/>
      <c r="G367" s="46"/>
      <c r="H367" s="46"/>
      <c r="I367" s="46"/>
      <c r="J367" s="27"/>
      <c r="K367" s="27"/>
      <c r="L367" s="46"/>
      <c r="M367" s="46"/>
      <c r="N367" s="46"/>
      <c r="O367" s="46"/>
      <c r="P367" s="46"/>
      <c r="Q367" s="45"/>
    </row>
    <row r="368" spans="1:17" s="134" customFormat="1" ht="15">
      <c r="A368" s="45"/>
      <c r="B368" s="27"/>
      <c r="C368" s="27"/>
      <c r="D368" s="27"/>
      <c r="E368" s="27"/>
      <c r="F368" s="46"/>
      <c r="G368" s="46"/>
      <c r="H368" s="46"/>
      <c r="I368" s="46"/>
      <c r="J368" s="27"/>
      <c r="K368" s="27"/>
      <c r="L368" s="27"/>
      <c r="M368" s="27"/>
      <c r="N368" s="27"/>
      <c r="O368" s="27"/>
      <c r="P368" s="27"/>
      <c r="Q368" s="29"/>
    </row>
    <row r="369" spans="1:17" ht="15">
      <c r="A369" s="29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9"/>
    </row>
    <row r="370" spans="1:17" ht="15">
      <c r="A370" s="29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9"/>
    </row>
    <row r="371" spans="1:17" ht="15">
      <c r="A371" s="29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9"/>
    </row>
    <row r="372" spans="1:17" ht="15">
      <c r="A372" s="29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9"/>
    </row>
    <row r="373" spans="1:17" ht="15">
      <c r="A373" s="29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9"/>
    </row>
    <row r="374" spans="1:17" ht="15">
      <c r="A374" s="29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9"/>
    </row>
    <row r="375" spans="1:17" ht="15">
      <c r="A375" s="29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9"/>
    </row>
    <row r="376" spans="1:17" ht="15">
      <c r="A376" s="29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9"/>
    </row>
    <row r="377" spans="1:17" ht="15">
      <c r="A377" s="29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9"/>
    </row>
    <row r="378" spans="1:17" ht="15">
      <c r="A378" s="29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9"/>
    </row>
    <row r="379" spans="1:17" ht="15">
      <c r="A379" s="29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9"/>
    </row>
    <row r="380" spans="1:17" ht="15">
      <c r="A380" s="29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9"/>
    </row>
    <row r="381" spans="1:17" ht="15">
      <c r="A381" s="29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9"/>
    </row>
    <row r="382" spans="1:17" ht="15">
      <c r="A382" s="29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9"/>
    </row>
    <row r="383" spans="1:17" ht="15">
      <c r="A383" s="29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9"/>
    </row>
    <row r="384" spans="1:17" ht="15">
      <c r="A384" s="29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9"/>
    </row>
    <row r="385" spans="1:17" ht="15">
      <c r="A385" s="29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9"/>
    </row>
    <row r="386" spans="1:17" ht="15">
      <c r="A386" s="29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9"/>
    </row>
    <row r="387" spans="1:17" ht="15">
      <c r="A387" s="29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9"/>
    </row>
    <row r="388" spans="1:17" ht="15">
      <c r="A388" s="29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9"/>
    </row>
    <row r="389" spans="1:17" ht="15">
      <c r="A389" s="29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9"/>
    </row>
    <row r="390" spans="1:17" ht="15">
      <c r="A390" s="29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9"/>
    </row>
    <row r="391" spans="1:17" ht="15">
      <c r="A391" s="29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9"/>
    </row>
    <row r="392" spans="1:17" ht="15">
      <c r="A392" s="29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9"/>
    </row>
    <row r="393" spans="1:17" ht="15">
      <c r="A393" s="29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9"/>
    </row>
    <row r="394" spans="1:17" ht="15">
      <c r="A394" s="29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9"/>
    </row>
    <row r="395" spans="1:17" ht="15">
      <c r="A395" s="29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9"/>
    </row>
    <row r="396" spans="1:17" ht="15">
      <c r="A396" s="29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9"/>
    </row>
    <row r="397" spans="1:17" ht="15">
      <c r="A397" s="29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9"/>
    </row>
    <row r="398" spans="1:17" ht="15">
      <c r="A398" s="29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9"/>
    </row>
    <row r="399" spans="1:17" ht="15">
      <c r="A399" s="29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9"/>
    </row>
    <row r="400" spans="1:17" ht="15">
      <c r="A400" s="29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9"/>
    </row>
    <row r="401" spans="1:17" ht="15">
      <c r="A401" s="29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9"/>
    </row>
    <row r="402" spans="1:17" ht="15">
      <c r="A402" s="29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9"/>
    </row>
    <row r="403" spans="1:17" ht="15">
      <c r="A403" s="29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9"/>
    </row>
    <row r="404" spans="1:17" ht="15">
      <c r="A404" s="29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9"/>
    </row>
    <row r="405" spans="1:17" ht="15">
      <c r="A405" s="29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9"/>
    </row>
    <row r="406" spans="1:17" ht="15">
      <c r="A406" s="29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9"/>
    </row>
    <row r="407" spans="1:17" ht="15">
      <c r="A407" s="29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9"/>
    </row>
    <row r="408" spans="1:17" ht="15">
      <c r="A408" s="29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9"/>
    </row>
    <row r="409" spans="1:17" ht="15">
      <c r="A409" s="29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9"/>
    </row>
    <row r="410" spans="1:17" ht="15">
      <c r="A410" s="29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9"/>
    </row>
    <row r="411" spans="1:17" ht="15">
      <c r="A411" s="29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9"/>
    </row>
    <row r="412" spans="1:17" ht="15">
      <c r="A412" s="29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9"/>
    </row>
    <row r="413" spans="1:17" ht="15">
      <c r="A413" s="29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9"/>
    </row>
    <row r="414" spans="1:17" ht="15">
      <c r="A414" s="29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9"/>
    </row>
    <row r="415" spans="1:17" ht="15">
      <c r="A415" s="29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9"/>
    </row>
    <row r="416" spans="1:17" ht="15">
      <c r="A416" s="29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9"/>
    </row>
    <row r="417" spans="1:17" ht="15">
      <c r="A417" s="29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9"/>
    </row>
    <row r="418" spans="1:17" ht="15">
      <c r="A418" s="29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9"/>
    </row>
    <row r="419" spans="1:17" ht="15">
      <c r="A419" s="29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9"/>
    </row>
    <row r="420" spans="1:17" ht="15">
      <c r="A420" s="29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9"/>
    </row>
    <row r="421" spans="1:17" ht="15">
      <c r="A421" s="29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9"/>
    </row>
    <row r="422" spans="1:17" ht="15">
      <c r="A422" s="29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9"/>
    </row>
    <row r="423" spans="1:17" ht="15">
      <c r="A423" s="29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9"/>
    </row>
    <row r="424" spans="1:17" ht="15">
      <c r="A424" s="29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9"/>
    </row>
    <row r="425" spans="1:17" ht="15">
      <c r="A425" s="29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9"/>
    </row>
    <row r="426" spans="1:17" ht="15">
      <c r="A426" s="29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9"/>
    </row>
    <row r="427" spans="1:17" ht="15">
      <c r="A427" s="29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9"/>
    </row>
    <row r="428" spans="1:17" ht="15">
      <c r="A428" s="29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9"/>
    </row>
    <row r="429" spans="1:17" ht="15">
      <c r="A429" s="29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9"/>
    </row>
    <row r="430" spans="1:17" ht="15">
      <c r="A430" s="29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9"/>
    </row>
    <row r="431" spans="1:17" ht="15">
      <c r="A431" s="29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9"/>
    </row>
    <row r="432" spans="1:17" ht="15">
      <c r="A432" s="29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9"/>
    </row>
    <row r="433" spans="1:17" ht="15">
      <c r="A433" s="29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9"/>
    </row>
    <row r="434" spans="1:17" ht="15">
      <c r="A434" s="29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9"/>
    </row>
    <row r="435" spans="1:17" ht="15">
      <c r="A435" s="29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9"/>
    </row>
    <row r="436" spans="1:17" ht="15">
      <c r="A436" s="29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9"/>
    </row>
    <row r="437" spans="1:17" ht="15">
      <c r="A437" s="29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9"/>
    </row>
    <row r="438" spans="1:17" ht="15">
      <c r="A438" s="29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9"/>
    </row>
    <row r="439" spans="1:17" ht="15">
      <c r="A439" s="29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9"/>
    </row>
    <row r="440" spans="1:17" ht="15">
      <c r="A440" s="29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9"/>
    </row>
    <row r="441" spans="1:17" ht="15">
      <c r="A441" s="29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9"/>
    </row>
    <row r="442" spans="1:17" ht="15">
      <c r="A442" s="29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9"/>
    </row>
    <row r="443" spans="1:17" ht="15">
      <c r="A443" s="29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9"/>
    </row>
    <row r="444" spans="1:17" ht="15">
      <c r="A444" s="29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9"/>
    </row>
    <row r="445" spans="1:17" ht="15">
      <c r="A445" s="29"/>
      <c r="B445" s="27"/>
      <c r="C445" s="27"/>
      <c r="D445" s="27"/>
      <c r="E445" s="27"/>
      <c r="F445" s="27"/>
      <c r="G445" s="27"/>
      <c r="H445" s="27"/>
      <c r="I445" s="27"/>
      <c r="L445" s="27"/>
      <c r="M445" s="27"/>
      <c r="N445" s="27"/>
      <c r="O445" s="27"/>
      <c r="P445" s="27"/>
      <c r="Q445" s="29"/>
    </row>
    <row r="446" spans="1:9" ht="15">
      <c r="A446" s="29"/>
      <c r="F446" s="27"/>
      <c r="G446" s="27"/>
      <c r="H446" s="27"/>
      <c r="I446" s="27"/>
    </row>
  </sheetData>
  <sheetProtection/>
  <mergeCells count="3">
    <mergeCell ref="A2:Q2"/>
    <mergeCell ref="A1:Q1"/>
    <mergeCell ref="F4:H4"/>
  </mergeCells>
  <printOptions horizontalCentered="1"/>
  <pageMargins left="0.2" right="0.19" top="0.4" bottom="0.5" header="0.25" footer="0.25"/>
  <pageSetup fitToHeight="1" fitToWidth="1" horizontalDpi="600" verticalDpi="600" orientation="landscape" paperSize="9" scale="51" r:id="rId3"/>
  <headerFooter alignWithMargins="0">
    <oddFooter>&amp;L&amp;D&amp;R&amp;T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7"/>
  <sheetViews>
    <sheetView view="pageBreakPreview" zoomScale="78" zoomScaleSheetLayoutView="78" zoomScalePageLayoutView="0" workbookViewId="0" topLeftCell="A1">
      <pane xSplit="1" ySplit="7" topLeftCell="B25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284" sqref="P284"/>
    </sheetView>
  </sheetViews>
  <sheetFormatPr defaultColWidth="15.83203125" defaultRowHeight="15.75" customHeight="1"/>
  <cols>
    <col min="1" max="1" width="14.33203125" style="109" customWidth="1"/>
    <col min="2" max="6" width="15.83203125" style="104" customWidth="1"/>
    <col min="7" max="7" width="18.16015625" style="104" customWidth="1"/>
    <col min="8" max="8" width="16.33203125" style="128" customWidth="1"/>
    <col min="9" max="11" width="15.83203125" style="128" customWidth="1"/>
    <col min="12" max="12" width="17.66015625" style="128" bestFit="1" customWidth="1"/>
    <col min="13" max="13" width="20.5" style="104" customWidth="1"/>
    <col min="14" max="16" width="15.83203125" style="128" customWidth="1"/>
    <col min="17" max="17" width="15.83203125" style="109" customWidth="1"/>
    <col min="18" max="16384" width="15.83203125" style="104" customWidth="1"/>
  </cols>
  <sheetData>
    <row r="1" spans="1:17" ht="15.75" customHeight="1">
      <c r="A1" s="360" t="s">
        <v>120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</row>
    <row r="2" spans="1:17" ht="15.75" customHeight="1">
      <c r="A2" s="360" t="s">
        <v>54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</row>
    <row r="3" spans="1:17" ht="15.75" customHeight="1" thickBot="1">
      <c r="A3" s="130"/>
      <c r="B3" s="131"/>
      <c r="C3" s="131"/>
      <c r="D3" s="131"/>
      <c r="E3" s="131"/>
      <c r="F3" s="131"/>
      <c r="G3" s="131"/>
      <c r="H3" s="284"/>
      <c r="I3" s="284"/>
      <c r="J3" s="284"/>
      <c r="K3" s="284"/>
      <c r="L3" s="284"/>
      <c r="M3" s="131"/>
      <c r="N3" s="284"/>
      <c r="O3" s="284"/>
      <c r="P3" s="284"/>
      <c r="Q3" s="130"/>
    </row>
    <row r="4" spans="1:18" ht="15.75" customHeight="1" thickBot="1">
      <c r="A4" s="111"/>
      <c r="B4" s="51" t="s">
        <v>55</v>
      </c>
      <c r="C4" s="135"/>
      <c r="D4" s="135"/>
      <c r="E4" s="135"/>
      <c r="F4" s="136"/>
      <c r="G4" s="52" t="s">
        <v>162</v>
      </c>
      <c r="H4" s="299"/>
      <c r="I4" s="299"/>
      <c r="J4" s="300"/>
      <c r="K4" s="301"/>
      <c r="L4" s="302" t="s">
        <v>126</v>
      </c>
      <c r="M4" s="137"/>
      <c r="N4" s="301"/>
      <c r="O4" s="285"/>
      <c r="P4" s="301"/>
      <c r="Q4" s="138"/>
      <c r="R4" s="112"/>
    </row>
    <row r="5" spans="1:18" ht="15.75" customHeight="1">
      <c r="A5" s="43" t="s">
        <v>40</v>
      </c>
      <c r="B5" s="50" t="s">
        <v>3</v>
      </c>
      <c r="C5" s="43" t="s">
        <v>56</v>
      </c>
      <c r="D5" s="50" t="s">
        <v>57</v>
      </c>
      <c r="E5" s="43" t="s">
        <v>58</v>
      </c>
      <c r="F5" s="50" t="s">
        <v>59</v>
      </c>
      <c r="G5" s="50" t="s">
        <v>246</v>
      </c>
      <c r="H5" s="287" t="s">
        <v>60</v>
      </c>
      <c r="I5" s="64" t="s">
        <v>61</v>
      </c>
      <c r="J5" s="287" t="s">
        <v>62</v>
      </c>
      <c r="K5" s="64" t="s">
        <v>63</v>
      </c>
      <c r="L5" s="64" t="s">
        <v>127</v>
      </c>
      <c r="M5" s="50" t="s">
        <v>64</v>
      </c>
      <c r="N5" s="64" t="s">
        <v>65</v>
      </c>
      <c r="O5" s="287" t="s">
        <v>66</v>
      </c>
      <c r="P5" s="64" t="s">
        <v>3</v>
      </c>
      <c r="Q5" s="39" t="s">
        <v>2</v>
      </c>
      <c r="R5" s="112"/>
    </row>
    <row r="6" spans="1:18" ht="15.75" customHeight="1" thickBot="1">
      <c r="A6" s="53" t="s">
        <v>12</v>
      </c>
      <c r="B6" s="54"/>
      <c r="C6" s="53"/>
      <c r="D6" s="54"/>
      <c r="E6" s="53"/>
      <c r="F6" s="54"/>
      <c r="G6" s="53"/>
      <c r="H6" s="288"/>
      <c r="I6" s="290"/>
      <c r="J6" s="288" t="s">
        <v>18</v>
      </c>
      <c r="K6" s="290" t="s">
        <v>108</v>
      </c>
      <c r="L6" s="290" t="s">
        <v>128</v>
      </c>
      <c r="M6" s="54" t="s">
        <v>167</v>
      </c>
      <c r="N6" s="290"/>
      <c r="O6" s="288" t="s">
        <v>67</v>
      </c>
      <c r="P6" s="290" t="s">
        <v>67</v>
      </c>
      <c r="Q6" s="55" t="s">
        <v>12</v>
      </c>
      <c r="R6" s="112"/>
    </row>
    <row r="7" spans="1:17" s="109" customFormat="1" ht="15.75" customHeight="1" thickBot="1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290">
        <v>8</v>
      </c>
      <c r="I7" s="290">
        <v>9</v>
      </c>
      <c r="J7" s="290">
        <v>10</v>
      </c>
      <c r="K7" s="290">
        <v>11</v>
      </c>
      <c r="L7" s="290">
        <v>12</v>
      </c>
      <c r="M7" s="53">
        <v>13</v>
      </c>
      <c r="N7" s="290">
        <v>14</v>
      </c>
      <c r="O7" s="290">
        <v>15</v>
      </c>
      <c r="P7" s="290">
        <v>16</v>
      </c>
      <c r="Q7" s="53">
        <v>17</v>
      </c>
    </row>
    <row r="8" ht="15.75" customHeight="1">
      <c r="M8" s="109"/>
    </row>
    <row r="9" spans="1:17" ht="15.75" customHeight="1" hidden="1">
      <c r="A9" s="43">
        <v>1996</v>
      </c>
      <c r="B9" s="123">
        <v>15616</v>
      </c>
      <c r="C9" s="123">
        <v>6357</v>
      </c>
      <c r="D9" s="123">
        <v>6431</v>
      </c>
      <c r="E9" s="123">
        <v>758</v>
      </c>
      <c r="F9" s="123">
        <v>2070</v>
      </c>
      <c r="G9" s="123">
        <v>32044</v>
      </c>
      <c r="H9" s="154">
        <v>13618</v>
      </c>
      <c r="I9" s="154">
        <v>3125</v>
      </c>
      <c r="J9" s="154">
        <v>15301</v>
      </c>
      <c r="K9" s="154">
        <v>2102</v>
      </c>
      <c r="L9" s="154" t="s">
        <v>85</v>
      </c>
      <c r="M9" s="123">
        <v>74</v>
      </c>
      <c r="N9" s="154">
        <v>20564</v>
      </c>
      <c r="O9" s="154">
        <v>10632</v>
      </c>
      <c r="P9" s="154">
        <v>81031</v>
      </c>
      <c r="Q9" s="43">
        <v>1996</v>
      </c>
    </row>
    <row r="10" spans="1:17" ht="15.75" customHeight="1" hidden="1">
      <c r="A10" s="43">
        <v>1997</v>
      </c>
      <c r="B10" s="123">
        <f>B32</f>
        <v>24494</v>
      </c>
      <c r="C10" s="123">
        <f aca="true" t="shared" si="0" ref="C10:P10">C32</f>
        <v>12057</v>
      </c>
      <c r="D10" s="123">
        <f t="shared" si="0"/>
        <v>6778</v>
      </c>
      <c r="E10" s="123">
        <f t="shared" si="0"/>
        <v>3288</v>
      </c>
      <c r="F10" s="123">
        <f t="shared" si="0"/>
        <v>2371</v>
      </c>
      <c r="G10" s="123">
        <f t="shared" si="0"/>
        <v>0</v>
      </c>
      <c r="H10" s="154">
        <f t="shared" si="0"/>
        <v>13701</v>
      </c>
      <c r="I10" s="154">
        <f t="shared" si="0"/>
        <v>3846</v>
      </c>
      <c r="J10" s="154">
        <f t="shared" si="0"/>
        <v>20079</v>
      </c>
      <c r="K10" s="154">
        <f t="shared" si="0"/>
        <v>3190</v>
      </c>
      <c r="L10" s="154" t="str">
        <f t="shared" si="0"/>
        <v>-</v>
      </c>
      <c r="M10" s="123">
        <f t="shared" si="0"/>
        <v>74</v>
      </c>
      <c r="N10" s="154">
        <f t="shared" si="0"/>
        <v>18607</v>
      </c>
      <c r="O10" s="154">
        <f t="shared" si="0"/>
        <v>15841</v>
      </c>
      <c r="P10" s="154">
        <f t="shared" si="0"/>
        <v>99832</v>
      </c>
      <c r="Q10" s="43">
        <v>1997</v>
      </c>
    </row>
    <row r="11" spans="1:17" ht="15.75" customHeight="1" hidden="1">
      <c r="A11" s="43">
        <v>1998</v>
      </c>
      <c r="B11" s="123">
        <v>25875</v>
      </c>
      <c r="C11" s="123">
        <v>9752</v>
      </c>
      <c r="D11" s="123">
        <v>14026</v>
      </c>
      <c r="E11" s="123">
        <v>2097</v>
      </c>
      <c r="F11" s="123" t="s">
        <v>85</v>
      </c>
      <c r="G11" s="123">
        <f>H11+I11+J11</f>
        <v>50895</v>
      </c>
      <c r="H11" s="154">
        <v>23078</v>
      </c>
      <c r="I11" s="154">
        <v>4246</v>
      </c>
      <c r="J11" s="154">
        <v>23571</v>
      </c>
      <c r="K11" s="154">
        <v>5059</v>
      </c>
      <c r="L11" s="154" t="s">
        <v>85</v>
      </c>
      <c r="M11" s="123">
        <v>42</v>
      </c>
      <c r="N11" s="154">
        <v>22994</v>
      </c>
      <c r="O11" s="154">
        <v>20706</v>
      </c>
      <c r="P11" s="154">
        <v>125571</v>
      </c>
      <c r="Q11" s="43">
        <v>1998</v>
      </c>
    </row>
    <row r="12" spans="1:17" ht="15.75" customHeight="1" hidden="1">
      <c r="A12" s="43">
        <v>1999</v>
      </c>
      <c r="B12" s="123">
        <f>B45</f>
        <v>47800</v>
      </c>
      <c r="C12" s="123">
        <f aca="true" t="shared" si="1" ref="C12:P12">C45</f>
        <v>27654</v>
      </c>
      <c r="D12" s="123">
        <f t="shared" si="1"/>
        <v>12915</v>
      </c>
      <c r="E12" s="123">
        <f t="shared" si="1"/>
        <v>2400</v>
      </c>
      <c r="F12" s="123">
        <f t="shared" si="1"/>
        <v>4831</v>
      </c>
      <c r="G12" s="123">
        <f t="shared" si="1"/>
        <v>0</v>
      </c>
      <c r="H12" s="154">
        <f t="shared" si="1"/>
        <v>24574</v>
      </c>
      <c r="I12" s="154">
        <f t="shared" si="1"/>
        <v>3050</v>
      </c>
      <c r="J12" s="154">
        <f t="shared" si="1"/>
        <v>31061</v>
      </c>
      <c r="K12" s="154">
        <f t="shared" si="1"/>
        <v>14107</v>
      </c>
      <c r="L12" s="154" t="str">
        <f t="shared" si="1"/>
        <v>-</v>
      </c>
      <c r="M12" s="123">
        <f t="shared" si="1"/>
        <v>21</v>
      </c>
      <c r="N12" s="154">
        <f t="shared" si="1"/>
        <v>34664</v>
      </c>
      <c r="O12" s="154">
        <f t="shared" si="1"/>
        <v>32142</v>
      </c>
      <c r="P12" s="154">
        <f t="shared" si="1"/>
        <v>187420</v>
      </c>
      <c r="Q12" s="43">
        <v>1999</v>
      </c>
    </row>
    <row r="13" spans="1:17" ht="15.75" customHeight="1" hidden="1">
      <c r="A13" s="43">
        <v>2000</v>
      </c>
      <c r="B13" s="123">
        <f>B59</f>
        <v>48447</v>
      </c>
      <c r="C13" s="123">
        <f aca="true" t="shared" si="2" ref="C13:P13">C59</f>
        <v>25947</v>
      </c>
      <c r="D13" s="123">
        <f t="shared" si="2"/>
        <v>14580</v>
      </c>
      <c r="E13" s="123">
        <f t="shared" si="2"/>
        <v>4790</v>
      </c>
      <c r="F13" s="123">
        <f t="shared" si="2"/>
        <v>3129</v>
      </c>
      <c r="G13" s="123">
        <f t="shared" si="2"/>
        <v>0</v>
      </c>
      <c r="H13" s="154">
        <f t="shared" si="2"/>
        <v>30402</v>
      </c>
      <c r="I13" s="154">
        <f t="shared" si="2"/>
        <v>4528</v>
      </c>
      <c r="J13" s="154">
        <f t="shared" si="2"/>
        <v>37744</v>
      </c>
      <c r="K13" s="154">
        <f t="shared" si="2"/>
        <v>13266</v>
      </c>
      <c r="L13" s="154" t="str">
        <f t="shared" si="2"/>
        <v>-</v>
      </c>
      <c r="M13" s="123" t="str">
        <f t="shared" si="2"/>
        <v>_</v>
      </c>
      <c r="N13" s="154">
        <f t="shared" si="2"/>
        <v>48899</v>
      </c>
      <c r="O13" s="154">
        <f t="shared" si="2"/>
        <v>33901</v>
      </c>
      <c r="P13" s="154">
        <f t="shared" si="2"/>
        <v>217186</v>
      </c>
      <c r="Q13" s="43">
        <v>2000</v>
      </c>
    </row>
    <row r="14" spans="1:17" ht="15.75" customHeight="1" hidden="1">
      <c r="A14" s="43">
        <v>2001</v>
      </c>
      <c r="B14" s="123">
        <f>B73</f>
        <v>67452</v>
      </c>
      <c r="C14" s="123">
        <f aca="true" t="shared" si="3" ref="C14:P14">C73</f>
        <v>30065</v>
      </c>
      <c r="D14" s="123">
        <f t="shared" si="3"/>
        <v>23078</v>
      </c>
      <c r="E14" s="123">
        <f t="shared" si="3"/>
        <v>3875</v>
      </c>
      <c r="F14" s="123">
        <f t="shared" si="3"/>
        <v>10434</v>
      </c>
      <c r="G14" s="123">
        <f t="shared" si="3"/>
        <v>98064</v>
      </c>
      <c r="H14" s="154">
        <f t="shared" si="3"/>
        <v>46023</v>
      </c>
      <c r="I14" s="154">
        <f t="shared" si="3"/>
        <v>2924</v>
      </c>
      <c r="J14" s="154">
        <f t="shared" si="3"/>
        <v>49117</v>
      </c>
      <c r="K14" s="154">
        <f t="shared" si="3"/>
        <v>10894</v>
      </c>
      <c r="L14" s="154">
        <f t="shared" si="3"/>
        <v>15</v>
      </c>
      <c r="M14" s="123" t="str">
        <f t="shared" si="3"/>
        <v>-</v>
      </c>
      <c r="N14" s="154">
        <f t="shared" si="3"/>
        <v>60975</v>
      </c>
      <c r="O14" s="154">
        <f t="shared" si="3"/>
        <v>29237</v>
      </c>
      <c r="P14" s="154">
        <f t="shared" si="3"/>
        <v>266636</v>
      </c>
      <c r="Q14" s="43">
        <v>2001</v>
      </c>
    </row>
    <row r="15" spans="1:17" ht="15.75" customHeight="1" hidden="1">
      <c r="A15" s="43">
        <v>2002</v>
      </c>
      <c r="B15" s="100">
        <f>B87</f>
        <v>90808</v>
      </c>
      <c r="C15" s="100">
        <f aca="true" t="shared" si="4" ref="C15:P15">C87</f>
        <v>39323</v>
      </c>
      <c r="D15" s="100">
        <f t="shared" si="4"/>
        <v>30779</v>
      </c>
      <c r="E15" s="100">
        <f t="shared" si="4"/>
        <v>4691</v>
      </c>
      <c r="F15" s="100">
        <f t="shared" si="4"/>
        <v>16015</v>
      </c>
      <c r="G15" s="100">
        <f t="shared" si="4"/>
        <v>124834.05</v>
      </c>
      <c r="H15" s="154">
        <f t="shared" si="4"/>
        <v>55268</v>
      </c>
      <c r="I15" s="154">
        <f t="shared" si="4"/>
        <v>3559.05</v>
      </c>
      <c r="J15" s="154">
        <f t="shared" si="4"/>
        <v>66007</v>
      </c>
      <c r="K15" s="154">
        <f t="shared" si="4"/>
        <v>21244</v>
      </c>
      <c r="L15" s="154" t="str">
        <f t="shared" si="4"/>
        <v>_</v>
      </c>
      <c r="M15" s="100" t="str">
        <f t="shared" si="4"/>
        <v>_</v>
      </c>
      <c r="N15" s="154">
        <f t="shared" si="4"/>
        <v>76176</v>
      </c>
      <c r="O15" s="154">
        <f t="shared" si="4"/>
        <v>43716</v>
      </c>
      <c r="P15" s="154">
        <f t="shared" si="4"/>
        <v>356778</v>
      </c>
      <c r="Q15" s="43">
        <v>2002</v>
      </c>
    </row>
    <row r="16" spans="1:17" ht="15.75" customHeight="1" hidden="1">
      <c r="A16" s="43">
        <v>2003</v>
      </c>
      <c r="B16" s="105">
        <f>B101</f>
        <v>94414</v>
      </c>
      <c r="C16" s="105">
        <f aca="true" t="shared" si="5" ref="C16:P16">C101</f>
        <v>37861</v>
      </c>
      <c r="D16" s="105">
        <f t="shared" si="5"/>
        <v>34746</v>
      </c>
      <c r="E16" s="105">
        <f t="shared" si="5"/>
        <v>4068</v>
      </c>
      <c r="F16" s="105">
        <f t="shared" si="5"/>
        <v>17739</v>
      </c>
      <c r="G16" s="105">
        <f t="shared" si="5"/>
        <v>161754</v>
      </c>
      <c r="H16" s="142">
        <f t="shared" si="5"/>
        <v>71731</v>
      </c>
      <c r="I16" s="142">
        <f t="shared" si="5"/>
        <v>5937</v>
      </c>
      <c r="J16" s="142">
        <f t="shared" si="5"/>
        <v>84086</v>
      </c>
      <c r="K16" s="142">
        <f t="shared" si="5"/>
        <v>23196</v>
      </c>
      <c r="L16" s="142" t="str">
        <f t="shared" si="5"/>
        <v>_</v>
      </c>
      <c r="M16" s="105" t="str">
        <f t="shared" si="5"/>
        <v>_</v>
      </c>
      <c r="N16" s="142">
        <f t="shared" si="5"/>
        <v>84301</v>
      </c>
      <c r="O16" s="142">
        <f t="shared" si="5"/>
        <v>36113</v>
      </c>
      <c r="P16" s="142">
        <f t="shared" si="5"/>
        <v>399778</v>
      </c>
      <c r="Q16" s="43">
        <v>2003</v>
      </c>
    </row>
    <row r="17" spans="1:17" ht="15.75" customHeight="1" hidden="1">
      <c r="A17" s="43">
        <v>2004</v>
      </c>
      <c r="B17" s="103">
        <f>B118</f>
        <v>127416</v>
      </c>
      <c r="C17" s="103">
        <f aca="true" t="shared" si="6" ref="C17:P17">C118</f>
        <v>50886</v>
      </c>
      <c r="D17" s="103">
        <f t="shared" si="6"/>
        <v>44196</v>
      </c>
      <c r="E17" s="103">
        <f t="shared" si="6"/>
        <v>9349</v>
      </c>
      <c r="F17" s="103">
        <f t="shared" si="6"/>
        <v>22985</v>
      </c>
      <c r="G17" s="103">
        <f t="shared" si="6"/>
        <v>204148</v>
      </c>
      <c r="H17" s="142">
        <f t="shared" si="6"/>
        <v>93555</v>
      </c>
      <c r="I17" s="142">
        <f t="shared" si="6"/>
        <v>5979</v>
      </c>
      <c r="J17" s="142">
        <f t="shared" si="6"/>
        <v>104209</v>
      </c>
      <c r="K17" s="142">
        <f t="shared" si="6"/>
        <v>19547</v>
      </c>
      <c r="L17" s="142" t="str">
        <f t="shared" si="6"/>
        <v>_</v>
      </c>
      <c r="M17" s="103" t="str">
        <f t="shared" si="6"/>
        <v>_</v>
      </c>
      <c r="N17" s="142">
        <f t="shared" si="6"/>
        <v>112428</v>
      </c>
      <c r="O17" s="142">
        <f t="shared" si="6"/>
        <v>36917</v>
      </c>
      <c r="P17" s="142">
        <f t="shared" si="6"/>
        <v>500455</v>
      </c>
      <c r="Q17" s="43">
        <v>2004</v>
      </c>
    </row>
    <row r="18" spans="1:17" ht="15.75" customHeight="1" hidden="1">
      <c r="A18" s="43">
        <v>2005</v>
      </c>
      <c r="B18" s="99">
        <f>B132</f>
        <v>176649</v>
      </c>
      <c r="C18" s="99">
        <f aca="true" t="shared" si="7" ref="C18:P18">C132</f>
        <v>73746</v>
      </c>
      <c r="D18" s="99">
        <f t="shared" si="7"/>
        <v>65931</v>
      </c>
      <c r="E18" s="99">
        <f t="shared" si="7"/>
        <v>6137</v>
      </c>
      <c r="F18" s="99">
        <f t="shared" si="7"/>
        <v>30835</v>
      </c>
      <c r="G18" s="99">
        <f t="shared" si="7"/>
        <v>295700</v>
      </c>
      <c r="H18" s="191">
        <f t="shared" si="7"/>
        <v>144923</v>
      </c>
      <c r="I18" s="191">
        <f t="shared" si="7"/>
        <v>9409</v>
      </c>
      <c r="J18" s="191">
        <f t="shared" si="7"/>
        <v>140395</v>
      </c>
      <c r="K18" s="191">
        <f t="shared" si="7"/>
        <v>34485</v>
      </c>
      <c r="L18" s="191" t="str">
        <f t="shared" si="7"/>
        <v>_</v>
      </c>
      <c r="M18" s="99" t="str">
        <f t="shared" si="7"/>
        <v>_</v>
      </c>
      <c r="N18" s="191">
        <f t="shared" si="7"/>
        <v>139668</v>
      </c>
      <c r="O18" s="191">
        <f t="shared" si="7"/>
        <v>52658</v>
      </c>
      <c r="P18" s="191">
        <f t="shared" si="7"/>
        <v>699186</v>
      </c>
      <c r="Q18" s="43">
        <v>2005</v>
      </c>
    </row>
    <row r="19" spans="1:17" ht="15" customHeight="1">
      <c r="A19" s="43">
        <v>2006</v>
      </c>
      <c r="B19" s="99">
        <f>B146</f>
        <v>195870</v>
      </c>
      <c r="C19" s="99">
        <f aca="true" t="shared" si="8" ref="C19:P19">C146</f>
        <v>85488</v>
      </c>
      <c r="D19" s="99">
        <f t="shared" si="8"/>
        <v>59759</v>
      </c>
      <c r="E19" s="99">
        <f t="shared" si="8"/>
        <v>8747</v>
      </c>
      <c r="F19" s="99">
        <f t="shared" si="8"/>
        <v>41876</v>
      </c>
      <c r="G19" s="99">
        <f t="shared" si="8"/>
        <v>386302</v>
      </c>
      <c r="H19" s="191">
        <f t="shared" si="8"/>
        <v>191986</v>
      </c>
      <c r="I19" s="191">
        <f t="shared" si="8"/>
        <v>20002</v>
      </c>
      <c r="J19" s="191">
        <f t="shared" si="8"/>
        <v>173578</v>
      </c>
      <c r="K19" s="191">
        <f t="shared" si="8"/>
        <v>21008</v>
      </c>
      <c r="L19" s="191">
        <f t="shared" si="8"/>
        <v>58</v>
      </c>
      <c r="M19" s="99" t="str">
        <f t="shared" si="8"/>
        <v>_</v>
      </c>
      <c r="N19" s="191">
        <f t="shared" si="8"/>
        <v>158587</v>
      </c>
      <c r="O19" s="191">
        <f t="shared" si="8"/>
        <v>66849</v>
      </c>
      <c r="P19" s="191">
        <f t="shared" si="8"/>
        <v>828754</v>
      </c>
      <c r="Q19" s="43">
        <v>2006</v>
      </c>
    </row>
    <row r="20" spans="1:17" ht="13.5" customHeight="1">
      <c r="A20" s="43">
        <v>2007</v>
      </c>
      <c r="B20" s="99">
        <f>B160</f>
        <v>218502.75226175002</v>
      </c>
      <c r="C20" s="99">
        <f aca="true" t="shared" si="9" ref="C20:P20">C160</f>
        <v>101872.70860982</v>
      </c>
      <c r="D20" s="99">
        <f t="shared" si="9"/>
        <v>62866.68279657</v>
      </c>
      <c r="E20" s="99">
        <f t="shared" si="9"/>
        <v>12141.04485536</v>
      </c>
      <c r="F20" s="99">
        <f t="shared" si="9"/>
        <v>41622.316</v>
      </c>
      <c r="G20" s="99">
        <f t="shared" si="9"/>
        <v>522276.35727341</v>
      </c>
      <c r="H20" s="191">
        <f t="shared" si="9"/>
        <v>273486.08410267</v>
      </c>
      <c r="I20" s="191">
        <f t="shared" si="9"/>
        <v>18732.24947304</v>
      </c>
      <c r="J20" s="191">
        <f t="shared" si="9"/>
        <v>217319.74888862</v>
      </c>
      <c r="K20" s="191">
        <f t="shared" si="9"/>
        <v>56627.37817353</v>
      </c>
      <c r="L20" s="191">
        <f t="shared" si="9"/>
        <v>14361.075596129998</v>
      </c>
      <c r="M20" s="99">
        <f t="shared" si="9"/>
        <v>2126.572</v>
      </c>
      <c r="N20" s="191">
        <f t="shared" si="9"/>
        <v>211757.8878036</v>
      </c>
      <c r="O20" s="191">
        <f t="shared" si="9"/>
        <v>84654.43575769757</v>
      </c>
      <c r="P20" s="191">
        <f t="shared" si="9"/>
        <v>1118284.7887839274</v>
      </c>
      <c r="Q20" s="43">
        <v>2007</v>
      </c>
    </row>
    <row r="21" spans="1:17" ht="15.75" customHeight="1">
      <c r="A21" s="43">
        <v>2008</v>
      </c>
      <c r="B21" s="99">
        <f>B174</f>
        <v>301740.71917373</v>
      </c>
      <c r="C21" s="99">
        <f aca="true" t="shared" si="10" ref="C21:P21">C174</f>
        <v>160732.73395499</v>
      </c>
      <c r="D21" s="99">
        <f t="shared" si="10"/>
        <v>80589.93433972001</v>
      </c>
      <c r="E21" s="99">
        <f t="shared" si="10"/>
        <v>22626.11313333</v>
      </c>
      <c r="F21" s="99">
        <f t="shared" si="10"/>
        <v>37791.937745690004</v>
      </c>
      <c r="G21" s="99">
        <f t="shared" si="10"/>
        <v>649324.82991557</v>
      </c>
      <c r="H21" s="191">
        <f t="shared" si="10"/>
        <v>307444.08283102</v>
      </c>
      <c r="I21" s="191">
        <f t="shared" si="10"/>
        <v>89499.22527803999</v>
      </c>
      <c r="J21" s="191">
        <f t="shared" si="10"/>
        <v>248485.03016917003</v>
      </c>
      <c r="K21" s="191">
        <f t="shared" si="10"/>
        <v>110097.6853439</v>
      </c>
      <c r="L21" s="191">
        <f t="shared" si="10"/>
        <v>47161.88769032</v>
      </c>
      <c r="M21" s="99">
        <f t="shared" si="10"/>
        <v>0</v>
      </c>
      <c r="N21" s="191">
        <f t="shared" si="10"/>
        <v>290853.05484896566</v>
      </c>
      <c r="O21" s="191">
        <f t="shared" si="10"/>
        <v>160943.82963935778</v>
      </c>
      <c r="P21" s="191">
        <f t="shared" si="10"/>
        <v>1565816.9978813634</v>
      </c>
      <c r="Q21" s="43">
        <v>2008</v>
      </c>
    </row>
    <row r="22" spans="1:17" ht="15.75" customHeight="1">
      <c r="A22" s="43">
        <v>2009</v>
      </c>
      <c r="B22" s="99">
        <f>B188</f>
        <v>359688</v>
      </c>
      <c r="C22" s="99">
        <f aca="true" t="shared" si="11" ref="C22:P22">C188</f>
        <v>138914</v>
      </c>
      <c r="D22" s="99">
        <f t="shared" si="11"/>
        <v>133108.4154821</v>
      </c>
      <c r="E22" s="99">
        <f t="shared" si="11"/>
        <v>32783.281437109996</v>
      </c>
      <c r="F22" s="99">
        <f t="shared" si="11"/>
        <v>54882.416706530006</v>
      </c>
      <c r="G22" s="99">
        <f t="shared" si="11"/>
        <v>875260</v>
      </c>
      <c r="H22" s="191">
        <f t="shared" si="11"/>
        <v>437433.11866463267</v>
      </c>
      <c r="I22" s="191">
        <f t="shared" si="11"/>
        <v>84230</v>
      </c>
      <c r="J22" s="191">
        <f t="shared" si="11"/>
        <v>329181.03170142</v>
      </c>
      <c r="K22" s="191">
        <f t="shared" si="11"/>
        <v>194177</v>
      </c>
      <c r="L22" s="191">
        <f t="shared" si="11"/>
        <v>34513.1872408</v>
      </c>
      <c r="M22" s="99">
        <f t="shared" si="11"/>
        <v>5965.782</v>
      </c>
      <c r="N22" s="191">
        <f t="shared" si="11"/>
        <v>375517.03268661594</v>
      </c>
      <c r="O22" s="191">
        <f t="shared" si="11"/>
        <v>168551.3624489259</v>
      </c>
      <c r="P22" s="191">
        <f t="shared" si="11"/>
        <v>2026082.6442197445</v>
      </c>
      <c r="Q22" s="43">
        <v>2009</v>
      </c>
    </row>
    <row r="23" spans="1:17" ht="15.75" customHeight="1">
      <c r="A23" s="43">
        <v>2010</v>
      </c>
      <c r="B23" s="99">
        <f>B202</f>
        <v>454007</v>
      </c>
      <c r="C23" s="99">
        <f aca="true" t="shared" si="12" ref="C23:P23">C202</f>
        <v>209383</v>
      </c>
      <c r="D23" s="99">
        <f t="shared" si="12"/>
        <v>163417</v>
      </c>
      <c r="E23" s="99">
        <f t="shared" si="12"/>
        <v>46469</v>
      </c>
      <c r="F23" s="99">
        <f t="shared" si="12"/>
        <v>34738</v>
      </c>
      <c r="G23" s="99">
        <f t="shared" si="12"/>
        <v>1186426</v>
      </c>
      <c r="H23" s="191">
        <f t="shared" si="12"/>
        <v>658597</v>
      </c>
      <c r="I23" s="191">
        <f t="shared" si="12"/>
        <v>112242</v>
      </c>
      <c r="J23" s="191">
        <f t="shared" si="12"/>
        <v>412525</v>
      </c>
      <c r="K23" s="191">
        <f t="shared" si="12"/>
        <v>177393</v>
      </c>
      <c r="L23" s="191">
        <f t="shared" si="12"/>
        <v>29292</v>
      </c>
      <c r="M23" s="99">
        <f t="shared" si="12"/>
        <v>9810</v>
      </c>
      <c r="N23" s="191">
        <f t="shared" si="12"/>
        <v>443243</v>
      </c>
      <c r="O23" s="191">
        <f t="shared" si="12"/>
        <v>204357</v>
      </c>
      <c r="P23" s="191">
        <f t="shared" si="12"/>
        <v>2534363</v>
      </c>
      <c r="Q23" s="43">
        <v>2010</v>
      </c>
    </row>
    <row r="24" spans="1:17" ht="15.75" customHeight="1">
      <c r="A24" s="43">
        <v>2011</v>
      </c>
      <c r="B24" s="99">
        <f>B216</f>
        <v>526779</v>
      </c>
      <c r="C24" s="99">
        <f aca="true" t="shared" si="13" ref="C24:P24">C216</f>
        <v>227122</v>
      </c>
      <c r="D24" s="99">
        <f t="shared" si="13"/>
        <v>159942</v>
      </c>
      <c r="E24" s="99">
        <f t="shared" si="13"/>
        <v>68066</v>
      </c>
      <c r="F24" s="99">
        <f t="shared" si="13"/>
        <v>71649</v>
      </c>
      <c r="G24" s="99">
        <f t="shared" si="13"/>
        <v>1508375.5538157402</v>
      </c>
      <c r="H24" s="191">
        <f t="shared" si="13"/>
        <v>851479</v>
      </c>
      <c r="I24" s="191">
        <f t="shared" si="13"/>
        <v>138734</v>
      </c>
      <c r="J24" s="191">
        <f t="shared" si="13"/>
        <v>515694</v>
      </c>
      <c r="K24" s="191">
        <f t="shared" si="13"/>
        <v>239207</v>
      </c>
      <c r="L24" s="191">
        <f t="shared" si="13"/>
        <v>73842</v>
      </c>
      <c r="M24" s="99">
        <f t="shared" si="13"/>
        <v>0</v>
      </c>
      <c r="N24" s="191">
        <f t="shared" si="13"/>
        <v>532898</v>
      </c>
      <c r="O24" s="191">
        <f t="shared" si="13"/>
        <v>219664</v>
      </c>
      <c r="P24" s="191">
        <f t="shared" si="13"/>
        <v>3115542.104147948</v>
      </c>
      <c r="Q24" s="43">
        <v>2011</v>
      </c>
    </row>
    <row r="25" spans="1:17" ht="15.75" customHeight="1">
      <c r="A25" s="43">
        <v>2012</v>
      </c>
      <c r="B25" s="100">
        <f>B230</f>
        <v>597098.7727338069</v>
      </c>
      <c r="C25" s="100">
        <f>C230</f>
        <v>265466.08318647125</v>
      </c>
      <c r="D25" s="100">
        <f aca="true" t="shared" si="14" ref="D25:P25">D230</f>
        <v>178936.741874901</v>
      </c>
      <c r="E25" s="100">
        <f t="shared" si="14"/>
        <v>80892.65465927</v>
      </c>
      <c r="F25" s="100">
        <f t="shared" si="14"/>
        <v>71803.29301316469</v>
      </c>
      <c r="G25" s="100">
        <f t="shared" si="14"/>
        <v>1939374.70300733</v>
      </c>
      <c r="H25" s="154">
        <f t="shared" si="14"/>
        <v>1029055.8777270676</v>
      </c>
      <c r="I25" s="154">
        <f t="shared" si="14"/>
        <v>246535.52962535</v>
      </c>
      <c r="J25" s="154">
        <f t="shared" si="14"/>
        <v>661828.5854094673</v>
      </c>
      <c r="K25" s="154">
        <f t="shared" si="14"/>
        <v>275106.386668106</v>
      </c>
      <c r="L25" s="154">
        <f t="shared" si="14"/>
        <v>48347.52836577</v>
      </c>
      <c r="M25" s="100">
        <f t="shared" si="14"/>
        <v>0</v>
      </c>
      <c r="N25" s="154">
        <f t="shared" si="14"/>
        <v>621640.0354259532</v>
      </c>
      <c r="O25" s="154">
        <f t="shared" si="14"/>
        <v>248493.46771364418</v>
      </c>
      <c r="P25" s="154">
        <f t="shared" si="14"/>
        <v>3740973.3881731154</v>
      </c>
      <c r="Q25" s="43">
        <v>2012</v>
      </c>
    </row>
    <row r="26" spans="1:17" ht="15.75" customHeight="1">
      <c r="A26" s="43">
        <v>2013</v>
      </c>
      <c r="B26" s="100">
        <f>SUM(C26:F26)</f>
        <v>738823</v>
      </c>
      <c r="C26" s="100">
        <v>344510</v>
      </c>
      <c r="D26" s="100">
        <v>208375</v>
      </c>
      <c r="E26" s="100">
        <v>96223</v>
      </c>
      <c r="F26" s="100">
        <v>89715</v>
      </c>
      <c r="G26" s="100">
        <v>2166721</v>
      </c>
      <c r="H26" s="154">
        <v>1084478</v>
      </c>
      <c r="I26" s="154">
        <v>296001</v>
      </c>
      <c r="J26" s="154">
        <v>784171</v>
      </c>
      <c r="K26" s="154">
        <v>503163</v>
      </c>
      <c r="L26" s="154">
        <v>118715</v>
      </c>
      <c r="M26" s="100">
        <v>0</v>
      </c>
      <c r="N26" s="154">
        <v>706652</v>
      </c>
      <c r="O26" s="154">
        <v>263845</v>
      </c>
      <c r="P26" s="154">
        <v>4513166</v>
      </c>
      <c r="Q26" s="43">
        <v>2013</v>
      </c>
    </row>
    <row r="27" spans="1:17" ht="15.75" customHeight="1">
      <c r="A27" s="43"/>
      <c r="B27" s="100"/>
      <c r="C27" s="100"/>
      <c r="D27" s="100"/>
      <c r="E27" s="139"/>
      <c r="F27" s="139"/>
      <c r="G27" s="123"/>
      <c r="H27" s="154"/>
      <c r="I27" s="154"/>
      <c r="J27" s="154"/>
      <c r="K27" s="154"/>
      <c r="L27" s="154"/>
      <c r="M27" s="139"/>
      <c r="N27" s="154"/>
      <c r="O27" s="154"/>
      <c r="P27" s="154"/>
      <c r="Q27" s="43"/>
    </row>
    <row r="28" spans="1:17" ht="15.75" customHeight="1" hidden="1">
      <c r="A28" s="43">
        <v>1997</v>
      </c>
      <c r="B28" s="123"/>
      <c r="C28" s="123"/>
      <c r="D28" s="123"/>
      <c r="E28" s="123"/>
      <c r="F28" s="123"/>
      <c r="G28" s="123"/>
      <c r="H28" s="154"/>
      <c r="I28" s="154"/>
      <c r="J28" s="154"/>
      <c r="K28" s="154"/>
      <c r="L28" s="154"/>
      <c r="M28" s="123"/>
      <c r="N28" s="154"/>
      <c r="O28" s="154"/>
      <c r="P28" s="154"/>
      <c r="Q28" s="43">
        <v>1997</v>
      </c>
    </row>
    <row r="29" spans="1:17" ht="15.75" customHeight="1" hidden="1">
      <c r="A29" s="43" t="s">
        <v>27</v>
      </c>
      <c r="B29" s="123">
        <v>16542</v>
      </c>
      <c r="C29" s="123">
        <v>6657</v>
      </c>
      <c r="D29" s="123">
        <v>5858</v>
      </c>
      <c r="E29" s="123">
        <v>788</v>
      </c>
      <c r="F29" s="123">
        <v>3239</v>
      </c>
      <c r="G29" s="123"/>
      <c r="H29" s="154">
        <v>12682</v>
      </c>
      <c r="I29" s="154">
        <v>3680</v>
      </c>
      <c r="J29" s="154">
        <v>15788</v>
      </c>
      <c r="K29" s="154">
        <v>3188</v>
      </c>
      <c r="L29" s="154" t="s">
        <v>85</v>
      </c>
      <c r="M29" s="123">
        <v>74</v>
      </c>
      <c r="N29" s="154">
        <v>19584</v>
      </c>
      <c r="O29" s="154">
        <v>11732</v>
      </c>
      <c r="P29" s="154">
        <v>83270</v>
      </c>
      <c r="Q29" s="43" t="s">
        <v>27</v>
      </c>
    </row>
    <row r="30" spans="1:17" ht="15.75" customHeight="1" hidden="1">
      <c r="A30" s="43" t="s">
        <v>30</v>
      </c>
      <c r="B30" s="123">
        <v>17940</v>
      </c>
      <c r="C30" s="123">
        <v>12958</v>
      </c>
      <c r="D30" s="123">
        <v>3996</v>
      </c>
      <c r="E30" s="123">
        <v>639</v>
      </c>
      <c r="F30" s="123">
        <v>347</v>
      </c>
      <c r="G30" s="123"/>
      <c r="H30" s="154">
        <v>13432</v>
      </c>
      <c r="I30" s="154">
        <v>4039</v>
      </c>
      <c r="J30" s="154">
        <v>17740</v>
      </c>
      <c r="K30" s="154">
        <v>1752</v>
      </c>
      <c r="L30" s="154" t="s">
        <v>85</v>
      </c>
      <c r="M30" s="123">
        <v>74</v>
      </c>
      <c r="N30" s="154">
        <v>17713</v>
      </c>
      <c r="O30" s="154">
        <v>15582</v>
      </c>
      <c r="P30" s="154">
        <v>88271</v>
      </c>
      <c r="Q30" s="43" t="s">
        <v>30</v>
      </c>
    </row>
    <row r="31" spans="1:17" ht="15.75" customHeight="1" hidden="1">
      <c r="A31" s="43" t="s">
        <v>33</v>
      </c>
      <c r="B31" s="123">
        <v>22744</v>
      </c>
      <c r="C31" s="123">
        <v>11808</v>
      </c>
      <c r="D31" s="123">
        <v>6534</v>
      </c>
      <c r="E31" s="123">
        <v>2014</v>
      </c>
      <c r="F31" s="123">
        <v>2387</v>
      </c>
      <c r="G31" s="123"/>
      <c r="H31" s="154">
        <v>13469</v>
      </c>
      <c r="I31" s="154">
        <v>3896</v>
      </c>
      <c r="J31" s="154">
        <v>18763</v>
      </c>
      <c r="K31" s="154">
        <v>2770</v>
      </c>
      <c r="L31" s="154" t="s">
        <v>85</v>
      </c>
      <c r="M31" s="123">
        <v>74</v>
      </c>
      <c r="N31" s="154">
        <v>18061</v>
      </c>
      <c r="O31" s="154">
        <v>15364</v>
      </c>
      <c r="P31" s="154">
        <v>95140</v>
      </c>
      <c r="Q31" s="43" t="s">
        <v>33</v>
      </c>
    </row>
    <row r="32" spans="1:17" ht="15.75" customHeight="1" hidden="1">
      <c r="A32" s="43" t="s">
        <v>37</v>
      </c>
      <c r="B32" s="123">
        <v>24494</v>
      </c>
      <c r="C32" s="123">
        <v>12057</v>
      </c>
      <c r="D32" s="123">
        <v>6778</v>
      </c>
      <c r="E32" s="123">
        <v>3288</v>
      </c>
      <c r="F32" s="123">
        <v>2371</v>
      </c>
      <c r="G32" s="123"/>
      <c r="H32" s="154">
        <v>13701</v>
      </c>
      <c r="I32" s="154">
        <v>3846</v>
      </c>
      <c r="J32" s="154">
        <v>20079</v>
      </c>
      <c r="K32" s="154">
        <v>3190</v>
      </c>
      <c r="L32" s="154" t="s">
        <v>85</v>
      </c>
      <c r="M32" s="123">
        <v>74</v>
      </c>
      <c r="N32" s="154">
        <v>18607</v>
      </c>
      <c r="O32" s="154">
        <v>15841</v>
      </c>
      <c r="P32" s="154">
        <v>99832</v>
      </c>
      <c r="Q32" s="43" t="s">
        <v>37</v>
      </c>
    </row>
    <row r="33" spans="1:17" ht="15.75" customHeight="1" hidden="1">
      <c r="A33" s="43">
        <v>1999</v>
      </c>
      <c r="B33" s="123"/>
      <c r="C33" s="123"/>
      <c r="D33" s="123"/>
      <c r="E33" s="123"/>
      <c r="F33" s="123"/>
      <c r="G33" s="123"/>
      <c r="H33" s="154"/>
      <c r="I33" s="154"/>
      <c r="J33" s="154"/>
      <c r="K33" s="154"/>
      <c r="L33" s="154"/>
      <c r="M33" s="123"/>
      <c r="N33" s="154"/>
      <c r="O33" s="154"/>
      <c r="P33" s="154"/>
      <c r="Q33" s="43">
        <v>1999</v>
      </c>
    </row>
    <row r="34" spans="1:17" ht="15.75" customHeight="1" hidden="1">
      <c r="A34" s="43" t="s">
        <v>25</v>
      </c>
      <c r="B34" s="123">
        <v>28245</v>
      </c>
      <c r="C34" s="123">
        <v>13895</v>
      </c>
      <c r="D34" s="123">
        <v>11953</v>
      </c>
      <c r="E34" s="123">
        <v>2396</v>
      </c>
      <c r="F34" s="123">
        <v>0</v>
      </c>
      <c r="G34" s="123"/>
      <c r="H34" s="154">
        <v>23287</v>
      </c>
      <c r="I34" s="154">
        <v>4248</v>
      </c>
      <c r="J34" s="154">
        <v>23502</v>
      </c>
      <c r="K34" s="154">
        <v>5187</v>
      </c>
      <c r="L34" s="154" t="s">
        <v>85</v>
      </c>
      <c r="M34" s="123">
        <v>42</v>
      </c>
      <c r="N34" s="154">
        <v>22895</v>
      </c>
      <c r="O34" s="154">
        <v>21137</v>
      </c>
      <c r="P34" s="154">
        <v>128543</v>
      </c>
      <c r="Q34" s="43" t="s">
        <v>25</v>
      </c>
    </row>
    <row r="35" spans="1:17" ht="15.75" customHeight="1" hidden="1">
      <c r="A35" s="43" t="s">
        <v>26</v>
      </c>
      <c r="B35" s="123">
        <v>29339</v>
      </c>
      <c r="C35" s="123">
        <v>14388</v>
      </c>
      <c r="D35" s="123">
        <v>11967</v>
      </c>
      <c r="E35" s="123">
        <v>2983</v>
      </c>
      <c r="F35" s="123">
        <v>0</v>
      </c>
      <c r="G35" s="123"/>
      <c r="H35" s="154">
        <v>22526</v>
      </c>
      <c r="I35" s="154">
        <v>4228</v>
      </c>
      <c r="J35" s="154">
        <v>23976</v>
      </c>
      <c r="K35" s="154">
        <v>5472</v>
      </c>
      <c r="L35" s="154" t="s">
        <v>85</v>
      </c>
      <c r="M35" s="123">
        <v>32</v>
      </c>
      <c r="N35" s="154">
        <v>23030</v>
      </c>
      <c r="O35" s="154">
        <v>20457</v>
      </c>
      <c r="P35" s="154">
        <v>129059</v>
      </c>
      <c r="Q35" s="43" t="s">
        <v>26</v>
      </c>
    </row>
    <row r="36" spans="1:17" ht="15.75" customHeight="1" hidden="1">
      <c r="A36" s="43" t="s">
        <v>135</v>
      </c>
      <c r="B36" s="123">
        <v>35579</v>
      </c>
      <c r="C36" s="123">
        <v>19417</v>
      </c>
      <c r="D36" s="123">
        <v>10688</v>
      </c>
      <c r="E36" s="123">
        <v>4721</v>
      </c>
      <c r="F36" s="123">
        <v>753</v>
      </c>
      <c r="G36" s="123"/>
      <c r="H36" s="154">
        <v>23688</v>
      </c>
      <c r="I36" s="154">
        <v>4679</v>
      </c>
      <c r="J36" s="154">
        <v>24696</v>
      </c>
      <c r="K36" s="154">
        <v>5249</v>
      </c>
      <c r="L36" s="154" t="s">
        <v>85</v>
      </c>
      <c r="M36" s="123">
        <v>32</v>
      </c>
      <c r="N36" s="154">
        <v>24939</v>
      </c>
      <c r="O36" s="154">
        <v>21673</v>
      </c>
      <c r="P36" s="154">
        <v>140534</v>
      </c>
      <c r="Q36" s="43" t="s">
        <v>135</v>
      </c>
    </row>
    <row r="37" spans="1:17" ht="15.75" customHeight="1" hidden="1">
      <c r="A37" s="43"/>
      <c r="B37" s="123">
        <v>37178</v>
      </c>
      <c r="C37" s="123">
        <v>19781</v>
      </c>
      <c r="D37" s="123">
        <v>12384</v>
      </c>
      <c r="E37" s="123">
        <v>4347</v>
      </c>
      <c r="F37" s="123">
        <v>666</v>
      </c>
      <c r="G37" s="123"/>
      <c r="H37" s="154">
        <v>23221</v>
      </c>
      <c r="I37" s="154">
        <v>3520</v>
      </c>
      <c r="J37" s="154">
        <v>25223</v>
      </c>
      <c r="K37" s="154">
        <v>4914</v>
      </c>
      <c r="L37" s="154" t="s">
        <v>85</v>
      </c>
      <c r="M37" s="123">
        <v>32</v>
      </c>
      <c r="N37" s="154">
        <v>26093</v>
      </c>
      <c r="O37" s="154">
        <v>22494</v>
      </c>
      <c r="P37" s="154">
        <v>142674</v>
      </c>
      <c r="Q37" s="43"/>
    </row>
    <row r="38" spans="1:17" ht="15.75" customHeight="1" hidden="1">
      <c r="A38" s="43"/>
      <c r="B38" s="123">
        <v>35969</v>
      </c>
      <c r="C38" s="123">
        <v>17683</v>
      </c>
      <c r="D38" s="123">
        <v>13350</v>
      </c>
      <c r="E38" s="123">
        <v>4587</v>
      </c>
      <c r="F38" s="123">
        <v>349</v>
      </c>
      <c r="G38" s="123"/>
      <c r="H38" s="154">
        <v>21999</v>
      </c>
      <c r="I38" s="154">
        <v>3618</v>
      </c>
      <c r="J38" s="154">
        <v>25777</v>
      </c>
      <c r="K38" s="154">
        <v>8224</v>
      </c>
      <c r="L38" s="154" t="s">
        <v>85</v>
      </c>
      <c r="M38" s="123">
        <v>32</v>
      </c>
      <c r="N38" s="154">
        <v>26913</v>
      </c>
      <c r="O38" s="154">
        <v>24463</v>
      </c>
      <c r="P38" s="154">
        <v>146996</v>
      </c>
      <c r="Q38" s="43"/>
    </row>
    <row r="39" spans="1:17" ht="15.75" customHeight="1" hidden="1">
      <c r="A39" s="43" t="s">
        <v>86</v>
      </c>
      <c r="B39" s="123">
        <v>36402</v>
      </c>
      <c r="C39" s="123">
        <v>21301</v>
      </c>
      <c r="D39" s="123">
        <v>11556</v>
      </c>
      <c r="E39" s="123">
        <v>3408</v>
      </c>
      <c r="F39" s="123">
        <v>137</v>
      </c>
      <c r="G39" s="123"/>
      <c r="H39" s="154">
        <v>21161</v>
      </c>
      <c r="I39" s="154">
        <v>5670</v>
      </c>
      <c r="J39" s="154">
        <v>25767</v>
      </c>
      <c r="K39" s="154">
        <v>8371</v>
      </c>
      <c r="L39" s="154" t="s">
        <v>85</v>
      </c>
      <c r="M39" s="123">
        <v>32</v>
      </c>
      <c r="N39" s="154">
        <v>26553</v>
      </c>
      <c r="O39" s="154">
        <v>25765</v>
      </c>
      <c r="P39" s="154">
        <v>149720</v>
      </c>
      <c r="Q39" s="43" t="s">
        <v>86</v>
      </c>
    </row>
    <row r="40" spans="1:17" ht="15.75" customHeight="1" hidden="1">
      <c r="A40" s="43"/>
      <c r="B40" s="123">
        <v>37327</v>
      </c>
      <c r="C40" s="123">
        <v>15364</v>
      </c>
      <c r="D40" s="123">
        <v>14158</v>
      </c>
      <c r="E40" s="123">
        <v>1927</v>
      </c>
      <c r="F40" s="123">
        <v>5877</v>
      </c>
      <c r="G40" s="123"/>
      <c r="H40" s="154">
        <v>20724</v>
      </c>
      <c r="I40" s="154">
        <v>4647</v>
      </c>
      <c r="J40" s="154">
        <v>28301</v>
      </c>
      <c r="K40" s="154">
        <v>8387</v>
      </c>
      <c r="L40" s="154" t="s">
        <v>85</v>
      </c>
      <c r="M40" s="123">
        <v>32</v>
      </c>
      <c r="N40" s="154">
        <v>27530</v>
      </c>
      <c r="O40" s="154">
        <v>25546</v>
      </c>
      <c r="P40" s="154">
        <v>152494</v>
      </c>
      <c r="Q40" s="43"/>
    </row>
    <row r="41" spans="1:17" ht="15.75" customHeight="1" hidden="1">
      <c r="A41" s="43"/>
      <c r="B41" s="123">
        <v>38896</v>
      </c>
      <c r="C41" s="123">
        <v>22176</v>
      </c>
      <c r="D41" s="123">
        <v>8655</v>
      </c>
      <c r="E41" s="123">
        <v>1990</v>
      </c>
      <c r="F41" s="123">
        <v>6076</v>
      </c>
      <c r="G41" s="123"/>
      <c r="H41" s="154">
        <v>15900</v>
      </c>
      <c r="I41" s="154">
        <v>4723</v>
      </c>
      <c r="J41" s="154">
        <v>28660</v>
      </c>
      <c r="K41" s="154">
        <v>15453</v>
      </c>
      <c r="L41" s="154" t="s">
        <v>85</v>
      </c>
      <c r="M41" s="123">
        <v>32</v>
      </c>
      <c r="N41" s="154">
        <v>29416</v>
      </c>
      <c r="O41" s="154">
        <v>28523</v>
      </c>
      <c r="P41" s="154">
        <v>161602</v>
      </c>
      <c r="Q41" s="43"/>
    </row>
    <row r="42" spans="1:17" ht="15.75" customHeight="1" hidden="1">
      <c r="A42" s="43" t="s">
        <v>87</v>
      </c>
      <c r="B42" s="123">
        <v>43577</v>
      </c>
      <c r="C42" s="123">
        <v>25243</v>
      </c>
      <c r="D42" s="123">
        <v>9113</v>
      </c>
      <c r="E42" s="123">
        <v>2348</v>
      </c>
      <c r="F42" s="123">
        <v>6873</v>
      </c>
      <c r="G42" s="123"/>
      <c r="H42" s="154">
        <v>18350</v>
      </c>
      <c r="I42" s="154">
        <v>2666</v>
      </c>
      <c r="J42" s="154">
        <v>27983</v>
      </c>
      <c r="K42" s="154">
        <v>12953</v>
      </c>
      <c r="L42" s="154" t="s">
        <v>85</v>
      </c>
      <c r="M42" s="123">
        <v>21</v>
      </c>
      <c r="N42" s="154">
        <v>28990</v>
      </c>
      <c r="O42" s="154">
        <v>30771</v>
      </c>
      <c r="P42" s="154">
        <v>165311</v>
      </c>
      <c r="Q42" s="43" t="s">
        <v>87</v>
      </c>
    </row>
    <row r="43" spans="1:17" ht="15.75" customHeight="1" hidden="1">
      <c r="A43" s="43"/>
      <c r="B43" s="123">
        <v>45857</v>
      </c>
      <c r="C43" s="123">
        <v>27025</v>
      </c>
      <c r="D43" s="123">
        <v>8797</v>
      </c>
      <c r="E43" s="123">
        <v>2417</v>
      </c>
      <c r="F43" s="123">
        <v>7619</v>
      </c>
      <c r="G43" s="123"/>
      <c r="H43" s="154">
        <v>18958</v>
      </c>
      <c r="I43" s="154">
        <v>2984</v>
      </c>
      <c r="J43" s="154">
        <v>29016</v>
      </c>
      <c r="K43" s="154">
        <v>11625</v>
      </c>
      <c r="L43" s="154" t="s">
        <v>85</v>
      </c>
      <c r="M43" s="123">
        <v>21</v>
      </c>
      <c r="N43" s="154">
        <v>30387</v>
      </c>
      <c r="O43" s="154">
        <v>29062</v>
      </c>
      <c r="P43" s="154">
        <v>167909</v>
      </c>
      <c r="Q43" s="43"/>
    </row>
    <row r="44" spans="1:17" ht="15.75" customHeight="1" hidden="1">
      <c r="A44" s="43"/>
      <c r="B44" s="123">
        <v>42889</v>
      </c>
      <c r="C44" s="123">
        <v>24979</v>
      </c>
      <c r="D44" s="123">
        <v>10279</v>
      </c>
      <c r="E44" s="123">
        <v>1914</v>
      </c>
      <c r="F44" s="123">
        <v>5718</v>
      </c>
      <c r="G44" s="123"/>
      <c r="H44" s="154">
        <v>21031</v>
      </c>
      <c r="I44" s="154">
        <v>3316</v>
      </c>
      <c r="J44" s="154">
        <v>29461</v>
      </c>
      <c r="K44" s="154">
        <v>9758</v>
      </c>
      <c r="L44" s="154" t="s">
        <v>85</v>
      </c>
      <c r="M44" s="123">
        <v>21</v>
      </c>
      <c r="N44" s="154">
        <v>33449</v>
      </c>
      <c r="O44" s="154">
        <v>32257</v>
      </c>
      <c r="P44" s="154">
        <v>172183</v>
      </c>
      <c r="Q44" s="43"/>
    </row>
    <row r="45" spans="1:17" ht="15.75" customHeight="1" hidden="1">
      <c r="A45" s="43" t="s">
        <v>88</v>
      </c>
      <c r="B45" s="123">
        <v>47800</v>
      </c>
      <c r="C45" s="123">
        <v>27654</v>
      </c>
      <c r="D45" s="123">
        <v>12915</v>
      </c>
      <c r="E45" s="123">
        <v>2400</v>
      </c>
      <c r="F45" s="123">
        <v>4831</v>
      </c>
      <c r="G45" s="123"/>
      <c r="H45" s="154">
        <v>24574</v>
      </c>
      <c r="I45" s="154">
        <v>3050</v>
      </c>
      <c r="J45" s="154">
        <v>31061</v>
      </c>
      <c r="K45" s="154">
        <v>14107</v>
      </c>
      <c r="L45" s="154" t="s">
        <v>85</v>
      </c>
      <c r="M45" s="123">
        <v>21</v>
      </c>
      <c r="N45" s="154">
        <v>34664</v>
      </c>
      <c r="O45" s="154">
        <v>32142</v>
      </c>
      <c r="P45" s="154">
        <v>187420</v>
      </c>
      <c r="Q45" s="43" t="s">
        <v>88</v>
      </c>
    </row>
    <row r="46" ht="15.75" customHeight="1" hidden="1"/>
    <row r="47" spans="1:17" ht="15.75" customHeight="1" hidden="1">
      <c r="A47" s="43">
        <v>2000</v>
      </c>
      <c r="B47" s="123"/>
      <c r="C47" s="123"/>
      <c r="D47" s="123"/>
      <c r="E47" s="123"/>
      <c r="F47" s="123"/>
      <c r="G47" s="123"/>
      <c r="H47" s="154"/>
      <c r="I47" s="154"/>
      <c r="J47" s="154"/>
      <c r="K47" s="154"/>
      <c r="L47" s="154"/>
      <c r="M47" s="99" t="s">
        <v>138</v>
      </c>
      <c r="N47" s="154"/>
      <c r="O47" s="154"/>
      <c r="P47" s="154"/>
      <c r="Q47" s="43">
        <v>2000</v>
      </c>
    </row>
    <row r="48" spans="1:17" ht="15.75" customHeight="1" hidden="1">
      <c r="A48" s="43" t="s">
        <v>25</v>
      </c>
      <c r="B48" s="123">
        <v>43768</v>
      </c>
      <c r="C48" s="123">
        <v>24248</v>
      </c>
      <c r="D48" s="123">
        <v>12418</v>
      </c>
      <c r="E48" s="123">
        <v>2657</v>
      </c>
      <c r="F48" s="123">
        <v>4445</v>
      </c>
      <c r="G48" s="123"/>
      <c r="H48" s="154">
        <v>24833</v>
      </c>
      <c r="I48" s="154">
        <v>2535</v>
      </c>
      <c r="J48" s="154">
        <v>30308</v>
      </c>
      <c r="K48" s="154">
        <v>13046</v>
      </c>
      <c r="L48" s="154" t="s">
        <v>85</v>
      </c>
      <c r="M48" s="99" t="s">
        <v>138</v>
      </c>
      <c r="N48" s="154">
        <v>37674</v>
      </c>
      <c r="O48" s="154">
        <v>29552</v>
      </c>
      <c r="P48" s="154">
        <v>181736</v>
      </c>
      <c r="Q48" s="43" t="s">
        <v>25</v>
      </c>
    </row>
    <row r="49" spans="1:17" ht="15.75" customHeight="1" hidden="1">
      <c r="A49" s="43" t="s">
        <v>26</v>
      </c>
      <c r="B49" s="123">
        <v>42300</v>
      </c>
      <c r="C49" s="123">
        <v>22730</v>
      </c>
      <c r="D49" s="123">
        <v>12543</v>
      </c>
      <c r="E49" s="123">
        <v>2419</v>
      </c>
      <c r="F49" s="123">
        <v>4608</v>
      </c>
      <c r="G49" s="123"/>
      <c r="H49" s="154">
        <v>22180</v>
      </c>
      <c r="I49" s="154">
        <v>2534</v>
      </c>
      <c r="J49" s="154">
        <v>31130</v>
      </c>
      <c r="K49" s="154">
        <v>14585</v>
      </c>
      <c r="L49" s="154" t="s">
        <v>85</v>
      </c>
      <c r="M49" s="99" t="s">
        <v>138</v>
      </c>
      <c r="N49" s="154">
        <v>38809</v>
      </c>
      <c r="O49" s="154">
        <v>30937</v>
      </c>
      <c r="P49" s="154">
        <v>182486</v>
      </c>
      <c r="Q49" s="43" t="s">
        <v>26</v>
      </c>
    </row>
    <row r="50" spans="1:17" ht="15.75" customHeight="1" hidden="1">
      <c r="A50" s="43" t="s">
        <v>135</v>
      </c>
      <c r="B50" s="123">
        <v>40960</v>
      </c>
      <c r="C50" s="123">
        <v>19034</v>
      </c>
      <c r="D50" s="123">
        <v>14320</v>
      </c>
      <c r="E50" s="123">
        <v>1391</v>
      </c>
      <c r="F50" s="123">
        <v>6216</v>
      </c>
      <c r="G50" s="123"/>
      <c r="H50" s="154">
        <v>23067</v>
      </c>
      <c r="I50" s="154">
        <v>2252</v>
      </c>
      <c r="J50" s="154">
        <v>31741</v>
      </c>
      <c r="K50" s="154">
        <v>10829</v>
      </c>
      <c r="L50" s="154" t="s">
        <v>85</v>
      </c>
      <c r="M50" s="99" t="s">
        <v>138</v>
      </c>
      <c r="N50" s="154">
        <v>37652</v>
      </c>
      <c r="O50" s="154">
        <v>33037</v>
      </c>
      <c r="P50" s="154">
        <v>179548</v>
      </c>
      <c r="Q50" s="43" t="s">
        <v>135</v>
      </c>
    </row>
    <row r="51" spans="1:17" ht="15.75" customHeight="1" hidden="1">
      <c r="A51" s="43"/>
      <c r="B51" s="123">
        <v>38776</v>
      </c>
      <c r="C51" s="123">
        <v>19058</v>
      </c>
      <c r="D51" s="123">
        <v>15413</v>
      </c>
      <c r="E51" s="123">
        <v>1471</v>
      </c>
      <c r="F51" s="123">
        <v>2834</v>
      </c>
      <c r="G51" s="123"/>
      <c r="H51" s="154">
        <v>24635</v>
      </c>
      <c r="I51" s="154">
        <v>2223</v>
      </c>
      <c r="J51" s="154">
        <v>30638</v>
      </c>
      <c r="K51" s="154">
        <v>11532</v>
      </c>
      <c r="L51" s="154" t="s">
        <v>85</v>
      </c>
      <c r="M51" s="99" t="s">
        <v>138</v>
      </c>
      <c r="N51" s="154">
        <v>38385</v>
      </c>
      <c r="O51" s="154">
        <v>32237</v>
      </c>
      <c r="P51" s="154">
        <v>178437</v>
      </c>
      <c r="Q51" s="43"/>
    </row>
    <row r="52" spans="1:17" ht="15.75" customHeight="1" hidden="1">
      <c r="A52" s="43"/>
      <c r="B52" s="123">
        <v>45154</v>
      </c>
      <c r="C52" s="123">
        <v>21174</v>
      </c>
      <c r="D52" s="123">
        <v>18632</v>
      </c>
      <c r="E52" s="123">
        <v>2236</v>
      </c>
      <c r="F52" s="123">
        <v>3111</v>
      </c>
      <c r="G52" s="123"/>
      <c r="H52" s="154">
        <v>22370</v>
      </c>
      <c r="I52" s="154">
        <v>2693</v>
      </c>
      <c r="J52" s="154">
        <v>30689</v>
      </c>
      <c r="K52" s="154">
        <v>12613</v>
      </c>
      <c r="L52" s="154" t="s">
        <v>85</v>
      </c>
      <c r="M52" s="99" t="s">
        <v>138</v>
      </c>
      <c r="N52" s="154">
        <v>40103</v>
      </c>
      <c r="O52" s="154">
        <v>31240</v>
      </c>
      <c r="P52" s="154">
        <v>184873</v>
      </c>
      <c r="Q52" s="43"/>
    </row>
    <row r="53" spans="1:17" ht="15.75" customHeight="1" hidden="1">
      <c r="A53" s="43" t="s">
        <v>86</v>
      </c>
      <c r="B53" s="123">
        <v>43272</v>
      </c>
      <c r="C53" s="123">
        <v>20078</v>
      </c>
      <c r="D53" s="123">
        <v>17462</v>
      </c>
      <c r="E53" s="123">
        <v>3036</v>
      </c>
      <c r="F53" s="123">
        <v>2695</v>
      </c>
      <c r="G53" s="123"/>
      <c r="H53" s="154">
        <v>27128</v>
      </c>
      <c r="I53" s="154">
        <v>2535</v>
      </c>
      <c r="J53" s="154">
        <v>32253</v>
      </c>
      <c r="K53" s="154">
        <v>12016</v>
      </c>
      <c r="L53" s="154" t="s">
        <v>85</v>
      </c>
      <c r="M53" s="99" t="s">
        <v>138</v>
      </c>
      <c r="N53" s="154">
        <v>41569</v>
      </c>
      <c r="O53" s="154">
        <v>38752</v>
      </c>
      <c r="P53" s="154">
        <v>197535</v>
      </c>
      <c r="Q53" s="43" t="s">
        <v>86</v>
      </c>
    </row>
    <row r="54" spans="1:17" ht="15.75" customHeight="1" hidden="1">
      <c r="A54" s="43"/>
      <c r="B54" s="123">
        <v>45906</v>
      </c>
      <c r="C54" s="123">
        <v>22306</v>
      </c>
      <c r="D54" s="123">
        <v>18312</v>
      </c>
      <c r="E54" s="123">
        <v>2216</v>
      </c>
      <c r="F54" s="123">
        <v>3072</v>
      </c>
      <c r="G54" s="123"/>
      <c r="H54" s="154">
        <v>28704</v>
      </c>
      <c r="I54" s="154">
        <v>2470</v>
      </c>
      <c r="J54" s="154">
        <v>32844</v>
      </c>
      <c r="K54" s="154">
        <v>18806</v>
      </c>
      <c r="L54" s="154" t="s">
        <v>85</v>
      </c>
      <c r="M54" s="99" t="s">
        <v>138</v>
      </c>
      <c r="N54" s="154">
        <v>43330</v>
      </c>
      <c r="O54" s="154">
        <v>30742</v>
      </c>
      <c r="P54" s="154">
        <v>202812</v>
      </c>
      <c r="Q54" s="43"/>
    </row>
    <row r="55" spans="1:17" ht="15.75" customHeight="1" hidden="1">
      <c r="A55" s="43"/>
      <c r="B55" s="123">
        <v>44355</v>
      </c>
      <c r="C55" s="123">
        <v>20744</v>
      </c>
      <c r="D55" s="123">
        <v>16045</v>
      </c>
      <c r="E55" s="123">
        <v>2228</v>
      </c>
      <c r="F55" s="123">
        <v>5339</v>
      </c>
      <c r="G55" s="123"/>
      <c r="H55" s="154">
        <v>35474</v>
      </c>
      <c r="I55" s="154">
        <v>3497</v>
      </c>
      <c r="J55" s="154">
        <v>33272</v>
      </c>
      <c r="K55" s="154">
        <v>13946</v>
      </c>
      <c r="L55" s="154" t="s">
        <v>85</v>
      </c>
      <c r="M55" s="99" t="s">
        <v>138</v>
      </c>
      <c r="N55" s="154">
        <v>45066</v>
      </c>
      <c r="O55" s="154">
        <v>28356</v>
      </c>
      <c r="P55" s="154">
        <v>203966</v>
      </c>
      <c r="Q55" s="43"/>
    </row>
    <row r="56" spans="1:17" ht="15.75" customHeight="1" hidden="1">
      <c r="A56" s="43" t="s">
        <v>87</v>
      </c>
      <c r="B56" s="123">
        <v>43525</v>
      </c>
      <c r="C56" s="123">
        <v>20260</v>
      </c>
      <c r="D56" s="123">
        <v>16384</v>
      </c>
      <c r="E56" s="123">
        <v>2282</v>
      </c>
      <c r="F56" s="123">
        <v>4599</v>
      </c>
      <c r="G56" s="123"/>
      <c r="H56" s="154">
        <v>35875</v>
      </c>
      <c r="I56" s="154">
        <v>2137</v>
      </c>
      <c r="J56" s="154">
        <v>34044</v>
      </c>
      <c r="K56" s="154">
        <v>12164</v>
      </c>
      <c r="L56" s="154" t="s">
        <v>85</v>
      </c>
      <c r="M56" s="99" t="s">
        <v>138</v>
      </c>
      <c r="N56" s="154">
        <v>45455</v>
      </c>
      <c r="O56" s="154">
        <v>33542</v>
      </c>
      <c r="P56" s="154">
        <v>206743</v>
      </c>
      <c r="Q56" s="43" t="s">
        <v>87</v>
      </c>
    </row>
    <row r="57" spans="1:17" ht="15.75" customHeight="1" hidden="1">
      <c r="A57" s="43"/>
      <c r="B57" s="123">
        <v>43273</v>
      </c>
      <c r="C57" s="123">
        <v>19627</v>
      </c>
      <c r="D57" s="123">
        <v>16983</v>
      </c>
      <c r="E57" s="123">
        <v>2377</v>
      </c>
      <c r="F57" s="123">
        <v>4287</v>
      </c>
      <c r="G57" s="123"/>
      <c r="H57" s="154">
        <v>38314</v>
      </c>
      <c r="I57" s="154">
        <v>3516</v>
      </c>
      <c r="J57" s="154">
        <v>35600</v>
      </c>
      <c r="K57" s="154">
        <v>10735</v>
      </c>
      <c r="L57" s="154" t="s">
        <v>85</v>
      </c>
      <c r="M57" s="99" t="s">
        <v>138</v>
      </c>
      <c r="N57" s="154">
        <v>48132</v>
      </c>
      <c r="O57" s="154">
        <v>32649</v>
      </c>
      <c r="P57" s="154">
        <v>212219</v>
      </c>
      <c r="Q57" s="43"/>
    </row>
    <row r="58" spans="1:17" ht="15.75" customHeight="1" hidden="1">
      <c r="A58" s="43"/>
      <c r="B58" s="123">
        <v>46045</v>
      </c>
      <c r="C58" s="123">
        <v>22621</v>
      </c>
      <c r="D58" s="123">
        <v>13348</v>
      </c>
      <c r="E58" s="123">
        <v>5044</v>
      </c>
      <c r="F58" s="123">
        <v>5032</v>
      </c>
      <c r="G58" s="123"/>
      <c r="H58" s="154">
        <v>30736</v>
      </c>
      <c r="I58" s="154">
        <v>4072</v>
      </c>
      <c r="J58" s="154">
        <v>36351</v>
      </c>
      <c r="K58" s="154">
        <v>15419</v>
      </c>
      <c r="L58" s="154" t="s">
        <v>85</v>
      </c>
      <c r="M58" s="99" t="s">
        <v>138</v>
      </c>
      <c r="N58" s="154">
        <v>49242</v>
      </c>
      <c r="O58" s="154">
        <v>31073</v>
      </c>
      <c r="P58" s="154">
        <v>212938</v>
      </c>
      <c r="Q58" s="43"/>
    </row>
    <row r="59" spans="1:17" ht="15.75" customHeight="1" hidden="1">
      <c r="A59" s="43" t="s">
        <v>88</v>
      </c>
      <c r="B59" s="123">
        <v>48447</v>
      </c>
      <c r="C59" s="123">
        <v>25947</v>
      </c>
      <c r="D59" s="123">
        <v>14580</v>
      </c>
      <c r="E59" s="123">
        <v>4790</v>
      </c>
      <c r="F59" s="123">
        <v>3129</v>
      </c>
      <c r="G59" s="123"/>
      <c r="H59" s="154">
        <v>30402</v>
      </c>
      <c r="I59" s="154">
        <v>4528</v>
      </c>
      <c r="J59" s="154">
        <v>37744</v>
      </c>
      <c r="K59" s="154">
        <v>13266</v>
      </c>
      <c r="L59" s="154" t="s">
        <v>85</v>
      </c>
      <c r="M59" s="99" t="s">
        <v>138</v>
      </c>
      <c r="N59" s="154">
        <v>48899</v>
      </c>
      <c r="O59" s="154">
        <v>33901</v>
      </c>
      <c r="P59" s="154">
        <v>217186</v>
      </c>
      <c r="Q59" s="43" t="s">
        <v>88</v>
      </c>
    </row>
    <row r="60" spans="1:17" ht="15" customHeight="1" hidden="1">
      <c r="A60" s="43"/>
      <c r="B60" s="99"/>
      <c r="C60" s="99"/>
      <c r="D60" s="99"/>
      <c r="E60" s="99"/>
      <c r="F60" s="99"/>
      <c r="G60" s="99"/>
      <c r="H60" s="191"/>
      <c r="I60" s="191"/>
      <c r="J60" s="191"/>
      <c r="K60" s="191"/>
      <c r="L60" s="191"/>
      <c r="M60" s="99"/>
      <c r="N60" s="191"/>
      <c r="O60" s="191"/>
      <c r="P60" s="191"/>
      <c r="Q60" s="43"/>
    </row>
    <row r="61" spans="1:17" s="112" customFormat="1" ht="15.75" customHeight="1" hidden="1">
      <c r="A61" s="6">
        <v>2001</v>
      </c>
      <c r="B61" s="123"/>
      <c r="C61" s="123"/>
      <c r="D61" s="123"/>
      <c r="E61" s="123"/>
      <c r="F61" s="123"/>
      <c r="G61" s="123"/>
      <c r="H61" s="154"/>
      <c r="I61" s="154"/>
      <c r="J61" s="154"/>
      <c r="K61" s="154"/>
      <c r="L61" s="154"/>
      <c r="M61" s="123"/>
      <c r="N61" s="154"/>
      <c r="O61" s="154"/>
      <c r="P61" s="154"/>
      <c r="Q61" s="43">
        <v>2001</v>
      </c>
    </row>
    <row r="62" spans="1:16" ht="15.75" customHeight="1" hidden="1">
      <c r="A62" s="43" t="s">
        <v>25</v>
      </c>
      <c r="B62" s="123">
        <v>56140</v>
      </c>
      <c r="C62" s="123">
        <v>23297</v>
      </c>
      <c r="D62" s="123">
        <v>12594</v>
      </c>
      <c r="E62" s="123">
        <v>2340</v>
      </c>
      <c r="F62" s="123">
        <v>17910</v>
      </c>
      <c r="G62" s="123">
        <f aca="true" t="shared" si="15" ref="G62:G73">H62+I62+J62</f>
        <v>78018</v>
      </c>
      <c r="H62" s="154">
        <v>34951</v>
      </c>
      <c r="I62" s="154">
        <v>4301</v>
      </c>
      <c r="J62" s="154">
        <v>38766</v>
      </c>
      <c r="K62" s="154">
        <v>10902</v>
      </c>
      <c r="L62" s="154" t="s">
        <v>85</v>
      </c>
      <c r="M62" s="123" t="s">
        <v>85</v>
      </c>
      <c r="N62" s="154">
        <v>49384</v>
      </c>
      <c r="O62" s="154">
        <v>43328</v>
      </c>
      <c r="P62" s="154">
        <v>237771</v>
      </c>
    </row>
    <row r="63" spans="1:16" ht="15.75" customHeight="1" hidden="1">
      <c r="A63" s="43" t="s">
        <v>26</v>
      </c>
      <c r="B63" s="123">
        <v>53885</v>
      </c>
      <c r="C63" s="123">
        <v>28556</v>
      </c>
      <c r="D63" s="123">
        <v>11918</v>
      </c>
      <c r="E63" s="123">
        <v>2535</v>
      </c>
      <c r="F63" s="123">
        <v>10876</v>
      </c>
      <c r="G63" s="123">
        <f t="shared" si="15"/>
        <v>79833</v>
      </c>
      <c r="H63" s="154">
        <v>37184</v>
      </c>
      <c r="I63" s="154">
        <v>2639</v>
      </c>
      <c r="J63" s="154">
        <v>40010</v>
      </c>
      <c r="K63" s="154">
        <v>14836</v>
      </c>
      <c r="L63" s="154" t="s">
        <v>85</v>
      </c>
      <c r="M63" s="123" t="s">
        <v>85</v>
      </c>
      <c r="N63" s="154">
        <v>50629</v>
      </c>
      <c r="O63" s="154">
        <v>36851</v>
      </c>
      <c r="P63" s="154">
        <v>236034</v>
      </c>
    </row>
    <row r="64" spans="1:17" ht="15.75" customHeight="1" hidden="1">
      <c r="A64" s="43" t="s">
        <v>114</v>
      </c>
      <c r="B64" s="123">
        <v>51735</v>
      </c>
      <c r="C64" s="123">
        <v>21377</v>
      </c>
      <c r="D64" s="123">
        <v>13091</v>
      </c>
      <c r="E64" s="123">
        <v>5132</v>
      </c>
      <c r="F64" s="123">
        <v>12137</v>
      </c>
      <c r="G64" s="123">
        <f t="shared" si="15"/>
        <v>82274</v>
      </c>
      <c r="H64" s="154">
        <v>40672</v>
      </c>
      <c r="I64" s="154">
        <v>2893</v>
      </c>
      <c r="J64" s="154">
        <v>38709</v>
      </c>
      <c r="K64" s="154">
        <v>12956</v>
      </c>
      <c r="L64" s="154" t="s">
        <v>85</v>
      </c>
      <c r="M64" s="123" t="s">
        <v>85</v>
      </c>
      <c r="N64" s="154">
        <v>48661</v>
      </c>
      <c r="O64" s="154">
        <v>43651</v>
      </c>
      <c r="P64" s="154">
        <v>239283</v>
      </c>
      <c r="Q64" s="43" t="s">
        <v>114</v>
      </c>
    </row>
    <row r="65" spans="1:17" ht="15.75" customHeight="1" hidden="1">
      <c r="A65" s="43" t="s">
        <v>86</v>
      </c>
      <c r="B65" s="123">
        <v>58612</v>
      </c>
      <c r="C65" s="123">
        <v>26949</v>
      </c>
      <c r="D65" s="123">
        <v>17338</v>
      </c>
      <c r="E65" s="123">
        <v>4280</v>
      </c>
      <c r="F65" s="123">
        <v>10045</v>
      </c>
      <c r="G65" s="123">
        <f t="shared" si="15"/>
        <v>74462</v>
      </c>
      <c r="H65" s="154">
        <v>31550</v>
      </c>
      <c r="I65" s="154">
        <v>3134</v>
      </c>
      <c r="J65" s="154">
        <v>39778</v>
      </c>
      <c r="K65" s="154">
        <v>15644</v>
      </c>
      <c r="L65" s="154" t="s">
        <v>85</v>
      </c>
      <c r="M65" s="123" t="s">
        <v>85</v>
      </c>
      <c r="N65" s="154">
        <v>48869</v>
      </c>
      <c r="O65" s="154">
        <v>41998</v>
      </c>
      <c r="P65" s="154">
        <v>239588</v>
      </c>
      <c r="Q65" s="43" t="s">
        <v>86</v>
      </c>
    </row>
    <row r="66" spans="1:17" ht="15.75" customHeight="1" hidden="1">
      <c r="A66" s="43" t="s">
        <v>86</v>
      </c>
      <c r="B66" s="123">
        <v>55633</v>
      </c>
      <c r="C66" s="123">
        <v>23113</v>
      </c>
      <c r="D66" s="123">
        <v>19245</v>
      </c>
      <c r="E66" s="123">
        <v>3796</v>
      </c>
      <c r="F66" s="123">
        <v>9478</v>
      </c>
      <c r="G66" s="123">
        <f t="shared" si="15"/>
        <v>81378</v>
      </c>
      <c r="H66" s="154">
        <v>38644</v>
      </c>
      <c r="I66" s="154">
        <v>2953</v>
      </c>
      <c r="J66" s="154">
        <v>39781</v>
      </c>
      <c r="K66" s="154">
        <v>15451</v>
      </c>
      <c r="L66" s="154" t="s">
        <v>85</v>
      </c>
      <c r="M66" s="123" t="s">
        <v>85</v>
      </c>
      <c r="N66" s="154">
        <v>49587</v>
      </c>
      <c r="O66" s="154">
        <v>38538</v>
      </c>
      <c r="P66" s="154">
        <v>240593</v>
      </c>
      <c r="Q66" s="43" t="s">
        <v>86</v>
      </c>
    </row>
    <row r="67" spans="1:17" ht="15.75" customHeight="1" hidden="1">
      <c r="A67" s="43" t="s">
        <v>86</v>
      </c>
      <c r="B67" s="123">
        <v>61036</v>
      </c>
      <c r="C67" s="123">
        <v>24930</v>
      </c>
      <c r="D67" s="123">
        <v>18210</v>
      </c>
      <c r="E67" s="123">
        <v>5431</v>
      </c>
      <c r="F67" s="123">
        <v>12465</v>
      </c>
      <c r="G67" s="123">
        <f t="shared" si="15"/>
        <v>91735</v>
      </c>
      <c r="H67" s="154">
        <v>46575</v>
      </c>
      <c r="I67" s="154">
        <v>3167</v>
      </c>
      <c r="J67" s="154">
        <v>41993</v>
      </c>
      <c r="K67" s="154">
        <v>9461</v>
      </c>
      <c r="L67" s="154" t="s">
        <v>85</v>
      </c>
      <c r="M67" s="123" t="s">
        <v>85</v>
      </c>
      <c r="N67" s="154">
        <v>51387</v>
      </c>
      <c r="O67" s="154">
        <v>40971</v>
      </c>
      <c r="P67" s="154">
        <v>254606</v>
      </c>
      <c r="Q67" s="43" t="s">
        <v>86</v>
      </c>
    </row>
    <row r="68" spans="1:17" ht="15.75" customHeight="1" hidden="1">
      <c r="A68" s="43"/>
      <c r="B68" s="123">
        <v>57119</v>
      </c>
      <c r="C68" s="123">
        <v>27419</v>
      </c>
      <c r="D68" s="123">
        <v>18069</v>
      </c>
      <c r="E68" s="123">
        <v>3894</v>
      </c>
      <c r="F68" s="123">
        <v>7757</v>
      </c>
      <c r="G68" s="123">
        <f t="shared" si="15"/>
        <v>94359</v>
      </c>
      <c r="H68" s="154">
        <v>49125</v>
      </c>
      <c r="I68" s="154">
        <v>2757</v>
      </c>
      <c r="J68" s="154">
        <v>42477</v>
      </c>
      <c r="K68" s="154">
        <v>16040</v>
      </c>
      <c r="L68" s="154">
        <v>4</v>
      </c>
      <c r="M68" s="123" t="s">
        <v>85</v>
      </c>
      <c r="N68" s="154">
        <v>55533</v>
      </c>
      <c r="O68" s="154">
        <v>42407</v>
      </c>
      <c r="P68" s="154">
        <v>265461</v>
      </c>
      <c r="Q68" s="43"/>
    </row>
    <row r="69" spans="1:17" ht="15.75" customHeight="1" hidden="1">
      <c r="A69" s="43"/>
      <c r="B69" s="123">
        <v>61176</v>
      </c>
      <c r="C69" s="123">
        <v>28474</v>
      </c>
      <c r="D69" s="123">
        <v>15999</v>
      </c>
      <c r="E69" s="123">
        <v>2284</v>
      </c>
      <c r="F69" s="123">
        <v>14419</v>
      </c>
      <c r="G69" s="123">
        <f t="shared" si="15"/>
        <v>93681</v>
      </c>
      <c r="H69" s="154">
        <v>45876</v>
      </c>
      <c r="I69" s="154">
        <v>2486</v>
      </c>
      <c r="J69" s="154">
        <v>45319</v>
      </c>
      <c r="K69" s="154">
        <v>12817</v>
      </c>
      <c r="L69" s="154">
        <v>6</v>
      </c>
      <c r="M69" s="123" t="s">
        <v>85</v>
      </c>
      <c r="N69" s="154">
        <v>56841</v>
      </c>
      <c r="O69" s="154">
        <v>38930</v>
      </c>
      <c r="P69" s="154">
        <v>263451</v>
      </c>
      <c r="Q69" s="43"/>
    </row>
    <row r="70" spans="1:17" ht="15.75" customHeight="1" hidden="1">
      <c r="A70" s="43" t="s">
        <v>87</v>
      </c>
      <c r="B70" s="123">
        <v>63740</v>
      </c>
      <c r="C70" s="123">
        <v>26525</v>
      </c>
      <c r="D70" s="123">
        <v>26980</v>
      </c>
      <c r="E70" s="123">
        <v>2782</v>
      </c>
      <c r="F70" s="123">
        <v>7453</v>
      </c>
      <c r="G70" s="123">
        <f t="shared" si="15"/>
        <v>89829</v>
      </c>
      <c r="H70" s="154">
        <v>43155</v>
      </c>
      <c r="I70" s="154">
        <v>2570</v>
      </c>
      <c r="J70" s="154">
        <v>44104</v>
      </c>
      <c r="K70" s="154">
        <v>13447</v>
      </c>
      <c r="L70" s="154">
        <v>2</v>
      </c>
      <c r="M70" s="123" t="s">
        <v>85</v>
      </c>
      <c r="N70" s="154">
        <v>57765</v>
      </c>
      <c r="O70" s="154">
        <v>32109</v>
      </c>
      <c r="P70" s="154">
        <v>256893</v>
      </c>
      <c r="Q70" s="43" t="s">
        <v>87</v>
      </c>
    </row>
    <row r="71" spans="1:17" ht="15.75" customHeight="1" hidden="1">
      <c r="A71" s="43"/>
      <c r="B71" s="123">
        <v>65168</v>
      </c>
      <c r="C71" s="123">
        <v>28864</v>
      </c>
      <c r="D71" s="123">
        <v>18944</v>
      </c>
      <c r="E71" s="123">
        <v>4581</v>
      </c>
      <c r="F71" s="123">
        <v>12779</v>
      </c>
      <c r="G71" s="123">
        <f t="shared" si="15"/>
        <v>91469</v>
      </c>
      <c r="H71" s="154">
        <v>43420</v>
      </c>
      <c r="I71" s="154">
        <v>2654</v>
      </c>
      <c r="J71" s="154">
        <v>45395</v>
      </c>
      <c r="K71" s="154">
        <v>11114</v>
      </c>
      <c r="L71" s="154">
        <v>3</v>
      </c>
      <c r="M71" s="123" t="s">
        <v>85</v>
      </c>
      <c r="N71" s="154">
        <v>58594</v>
      </c>
      <c r="O71" s="154">
        <v>33517</v>
      </c>
      <c r="P71" s="154">
        <v>259864</v>
      </c>
      <c r="Q71" s="43"/>
    </row>
    <row r="72" spans="1:17" ht="15.75" customHeight="1" hidden="1">
      <c r="A72" s="43"/>
      <c r="B72" s="123">
        <v>61713</v>
      </c>
      <c r="C72" s="123">
        <v>29462</v>
      </c>
      <c r="D72" s="123">
        <v>18157</v>
      </c>
      <c r="E72" s="123">
        <v>4275</v>
      </c>
      <c r="F72" s="123">
        <v>9819</v>
      </c>
      <c r="G72" s="123">
        <f t="shared" si="15"/>
        <v>102501</v>
      </c>
      <c r="H72" s="154">
        <v>52094</v>
      </c>
      <c r="I72" s="154">
        <v>2796</v>
      </c>
      <c r="J72" s="154">
        <v>47611</v>
      </c>
      <c r="K72" s="154">
        <v>12685</v>
      </c>
      <c r="L72" s="154">
        <v>1</v>
      </c>
      <c r="M72" s="123" t="s">
        <v>85</v>
      </c>
      <c r="N72" s="154">
        <v>60578</v>
      </c>
      <c r="O72" s="154">
        <v>36752</v>
      </c>
      <c r="P72" s="154">
        <v>274231</v>
      </c>
      <c r="Q72" s="43"/>
    </row>
    <row r="73" spans="1:17" ht="15.75" customHeight="1" hidden="1">
      <c r="A73" s="43" t="s">
        <v>88</v>
      </c>
      <c r="B73" s="123">
        <v>67452</v>
      </c>
      <c r="C73" s="123">
        <v>30065</v>
      </c>
      <c r="D73" s="123">
        <v>23078</v>
      </c>
      <c r="E73" s="123">
        <v>3875</v>
      </c>
      <c r="F73" s="123">
        <v>10434</v>
      </c>
      <c r="G73" s="123">
        <f t="shared" si="15"/>
        <v>98064</v>
      </c>
      <c r="H73" s="154">
        <v>46023</v>
      </c>
      <c r="I73" s="154">
        <v>2924</v>
      </c>
      <c r="J73" s="154">
        <v>49117</v>
      </c>
      <c r="K73" s="154">
        <v>10894</v>
      </c>
      <c r="L73" s="154">
        <v>15</v>
      </c>
      <c r="M73" s="123" t="s">
        <v>85</v>
      </c>
      <c r="N73" s="154">
        <v>60975</v>
      </c>
      <c r="O73" s="154">
        <v>29237</v>
      </c>
      <c r="P73" s="154">
        <v>266636</v>
      </c>
      <c r="Q73" s="43" t="s">
        <v>88</v>
      </c>
    </row>
    <row r="74" spans="2:16" ht="15.75" customHeight="1" hidden="1">
      <c r="B74" s="123"/>
      <c r="C74" s="123"/>
      <c r="D74" s="123"/>
      <c r="E74" s="123"/>
      <c r="F74" s="123"/>
      <c r="G74" s="123"/>
      <c r="H74" s="154"/>
      <c r="I74" s="154"/>
      <c r="J74" s="154"/>
      <c r="K74" s="154"/>
      <c r="L74" s="154"/>
      <c r="M74" s="123"/>
      <c r="N74" s="154"/>
      <c r="O74" s="154"/>
      <c r="P74" s="154"/>
    </row>
    <row r="75" spans="1:17" ht="15.75" customHeight="1" hidden="1">
      <c r="A75" s="6">
        <v>2002</v>
      </c>
      <c r="B75" s="123"/>
      <c r="C75" s="123"/>
      <c r="D75" s="123"/>
      <c r="E75" s="123"/>
      <c r="F75" s="123"/>
      <c r="G75" s="123"/>
      <c r="H75" s="154"/>
      <c r="I75" s="154"/>
      <c r="J75" s="154"/>
      <c r="K75" s="154"/>
      <c r="L75" s="154"/>
      <c r="M75" s="123"/>
      <c r="N75" s="154"/>
      <c r="O75" s="154"/>
      <c r="P75" s="154"/>
      <c r="Q75" s="6">
        <v>2002</v>
      </c>
    </row>
    <row r="76" spans="1:17" s="140" customFormat="1" ht="15.75" customHeight="1" hidden="1">
      <c r="A76" s="56" t="s">
        <v>25</v>
      </c>
      <c r="B76" s="139">
        <v>61610</v>
      </c>
      <c r="C76" s="139">
        <v>28473</v>
      </c>
      <c r="D76" s="139">
        <v>20094</v>
      </c>
      <c r="E76" s="139">
        <v>3993</v>
      </c>
      <c r="F76" s="139">
        <v>9049</v>
      </c>
      <c r="G76" s="123">
        <f aca="true" t="shared" si="16" ref="G76:G83">H76+I76+J76</f>
        <v>98860</v>
      </c>
      <c r="H76" s="154">
        <v>47242</v>
      </c>
      <c r="I76" s="154">
        <v>2609</v>
      </c>
      <c r="J76" s="154">
        <v>49009</v>
      </c>
      <c r="K76" s="154">
        <v>13637</v>
      </c>
      <c r="L76" s="154">
        <v>5</v>
      </c>
      <c r="M76" s="139" t="s">
        <v>138</v>
      </c>
      <c r="N76" s="154">
        <v>62531</v>
      </c>
      <c r="O76" s="154">
        <v>27619</v>
      </c>
      <c r="P76" s="154">
        <v>264261</v>
      </c>
      <c r="Q76" s="56" t="s">
        <v>25</v>
      </c>
    </row>
    <row r="77" spans="1:17" s="140" customFormat="1" ht="15.75" customHeight="1" hidden="1">
      <c r="A77" s="56" t="s">
        <v>26</v>
      </c>
      <c r="B77" s="139">
        <v>67781</v>
      </c>
      <c r="C77" s="139">
        <v>24547</v>
      </c>
      <c r="D77" s="139">
        <v>25133</v>
      </c>
      <c r="E77" s="139">
        <v>3988</v>
      </c>
      <c r="F77" s="139">
        <v>14113</v>
      </c>
      <c r="G77" s="123">
        <f t="shared" si="16"/>
        <v>106564</v>
      </c>
      <c r="H77" s="154">
        <v>51762</v>
      </c>
      <c r="I77" s="154">
        <v>2788</v>
      </c>
      <c r="J77" s="154">
        <v>52014</v>
      </c>
      <c r="K77" s="154">
        <v>9762</v>
      </c>
      <c r="L77" s="154" t="s">
        <v>138</v>
      </c>
      <c r="M77" s="139" t="s">
        <v>138</v>
      </c>
      <c r="N77" s="154">
        <v>66138</v>
      </c>
      <c r="O77" s="154">
        <v>32952</v>
      </c>
      <c r="P77" s="154">
        <v>287799</v>
      </c>
      <c r="Q77" s="56" t="s">
        <v>26</v>
      </c>
    </row>
    <row r="78" spans="1:17" s="140" customFormat="1" ht="15.75" customHeight="1" hidden="1">
      <c r="A78" s="43" t="s">
        <v>114</v>
      </c>
      <c r="B78" s="139">
        <v>62185</v>
      </c>
      <c r="C78" s="139">
        <v>23323</v>
      </c>
      <c r="D78" s="139">
        <v>20109</v>
      </c>
      <c r="E78" s="139">
        <v>5138</v>
      </c>
      <c r="F78" s="139">
        <v>13615</v>
      </c>
      <c r="G78" s="123">
        <f t="shared" si="16"/>
        <v>107862</v>
      </c>
      <c r="H78" s="154">
        <v>52261</v>
      </c>
      <c r="I78" s="154">
        <v>2985</v>
      </c>
      <c r="J78" s="154">
        <v>52616</v>
      </c>
      <c r="K78" s="154">
        <v>16769</v>
      </c>
      <c r="L78" s="154" t="s">
        <v>138</v>
      </c>
      <c r="M78" s="139" t="s">
        <v>138</v>
      </c>
      <c r="N78" s="154">
        <v>66992</v>
      </c>
      <c r="O78" s="154">
        <v>33990</v>
      </c>
      <c r="P78" s="154">
        <v>287799</v>
      </c>
      <c r="Q78" s="43" t="s">
        <v>114</v>
      </c>
    </row>
    <row r="79" spans="1:17" ht="15.75" customHeight="1" hidden="1">
      <c r="A79" s="43" t="s">
        <v>86</v>
      </c>
      <c r="B79" s="100">
        <v>58469</v>
      </c>
      <c r="C79" s="100">
        <v>23785</v>
      </c>
      <c r="D79" s="100">
        <v>18094</v>
      </c>
      <c r="E79" s="139">
        <v>3675</v>
      </c>
      <c r="F79" s="139">
        <v>12916</v>
      </c>
      <c r="G79" s="123">
        <f t="shared" si="16"/>
        <v>109212</v>
      </c>
      <c r="H79" s="154">
        <v>52000</v>
      </c>
      <c r="I79" s="154">
        <v>2818</v>
      </c>
      <c r="J79" s="154">
        <v>54394</v>
      </c>
      <c r="K79" s="154">
        <v>12904</v>
      </c>
      <c r="L79" s="154" t="s">
        <v>138</v>
      </c>
      <c r="M79" s="139" t="s">
        <v>138</v>
      </c>
      <c r="N79" s="154">
        <v>68562</v>
      </c>
      <c r="O79" s="154">
        <v>28971</v>
      </c>
      <c r="P79" s="154">
        <v>278142</v>
      </c>
      <c r="Q79" s="43"/>
    </row>
    <row r="80" spans="1:17" ht="15.75" customHeight="1" hidden="1">
      <c r="A80" s="43" t="s">
        <v>86</v>
      </c>
      <c r="B80" s="100">
        <v>63141</v>
      </c>
      <c r="C80" s="100">
        <v>25997</v>
      </c>
      <c r="D80" s="100">
        <v>18973</v>
      </c>
      <c r="E80" s="139">
        <v>4194</v>
      </c>
      <c r="F80" s="139">
        <v>13977</v>
      </c>
      <c r="G80" s="123">
        <f t="shared" si="16"/>
        <v>104579</v>
      </c>
      <c r="H80" s="154">
        <v>45458</v>
      </c>
      <c r="I80" s="154">
        <v>2628</v>
      </c>
      <c r="J80" s="154">
        <v>56493</v>
      </c>
      <c r="K80" s="154">
        <v>15347</v>
      </c>
      <c r="L80" s="154" t="s">
        <v>138</v>
      </c>
      <c r="M80" s="139" t="s">
        <v>138</v>
      </c>
      <c r="N80" s="154">
        <v>64072</v>
      </c>
      <c r="O80" s="154">
        <v>30309</v>
      </c>
      <c r="P80" s="154">
        <v>277448</v>
      </c>
      <c r="Q80" s="43"/>
    </row>
    <row r="81" spans="1:17" ht="15.75" customHeight="1" hidden="1">
      <c r="A81" s="43" t="s">
        <v>86</v>
      </c>
      <c r="B81" s="100">
        <v>60330</v>
      </c>
      <c r="C81" s="100">
        <v>23398</v>
      </c>
      <c r="D81" s="100">
        <v>21095</v>
      </c>
      <c r="E81" s="139">
        <v>3886</v>
      </c>
      <c r="F81" s="139">
        <v>11951</v>
      </c>
      <c r="G81" s="123">
        <f t="shared" si="16"/>
        <v>113324</v>
      </c>
      <c r="H81" s="154">
        <v>52717</v>
      </c>
      <c r="I81" s="154">
        <v>2915</v>
      </c>
      <c r="J81" s="154">
        <v>57692</v>
      </c>
      <c r="K81" s="154">
        <v>9375</v>
      </c>
      <c r="L81" s="154" t="s">
        <v>138</v>
      </c>
      <c r="M81" s="139" t="s">
        <v>138</v>
      </c>
      <c r="N81" s="154">
        <v>65013</v>
      </c>
      <c r="O81" s="154">
        <v>35404</v>
      </c>
      <c r="P81" s="154">
        <v>283446</v>
      </c>
      <c r="Q81" s="43" t="s">
        <v>86</v>
      </c>
    </row>
    <row r="82" spans="1:17" ht="15.75" customHeight="1" hidden="1">
      <c r="A82" s="43"/>
      <c r="B82" s="100">
        <v>65263</v>
      </c>
      <c r="C82" s="100">
        <v>26060</v>
      </c>
      <c r="D82" s="100">
        <v>25889</v>
      </c>
      <c r="E82" s="139">
        <v>3244</v>
      </c>
      <c r="F82" s="139">
        <v>10069</v>
      </c>
      <c r="G82" s="123">
        <f t="shared" si="16"/>
        <v>111698</v>
      </c>
      <c r="H82" s="154">
        <v>51918</v>
      </c>
      <c r="I82" s="154">
        <v>2927</v>
      </c>
      <c r="J82" s="154">
        <v>56853</v>
      </c>
      <c r="K82" s="154">
        <v>20189</v>
      </c>
      <c r="L82" s="154" t="s">
        <v>138</v>
      </c>
      <c r="M82" s="139" t="s">
        <v>138</v>
      </c>
      <c r="N82" s="154">
        <v>68578</v>
      </c>
      <c r="O82" s="154">
        <v>30397</v>
      </c>
      <c r="P82" s="154">
        <v>296124</v>
      </c>
      <c r="Q82" s="43"/>
    </row>
    <row r="83" spans="1:17" ht="15.75" customHeight="1" hidden="1">
      <c r="A83" s="43"/>
      <c r="B83" s="100">
        <v>69359</v>
      </c>
      <c r="C83" s="100">
        <v>30740</v>
      </c>
      <c r="D83" s="100">
        <v>26329</v>
      </c>
      <c r="E83" s="139">
        <v>2934</v>
      </c>
      <c r="F83" s="139">
        <v>9356</v>
      </c>
      <c r="G83" s="123">
        <f t="shared" si="16"/>
        <v>107958</v>
      </c>
      <c r="H83" s="154">
        <v>46571</v>
      </c>
      <c r="I83" s="154">
        <v>3027</v>
      </c>
      <c r="J83" s="154">
        <v>58360</v>
      </c>
      <c r="K83" s="154">
        <v>17530</v>
      </c>
      <c r="L83" s="154" t="s">
        <v>138</v>
      </c>
      <c r="M83" s="139" t="s">
        <v>138</v>
      </c>
      <c r="N83" s="154">
        <v>70671</v>
      </c>
      <c r="O83" s="154">
        <v>31178</v>
      </c>
      <c r="P83" s="154">
        <v>296696</v>
      </c>
      <c r="Q83" s="43"/>
    </row>
    <row r="84" spans="1:17" ht="15.75" customHeight="1" hidden="1">
      <c r="A84" s="43" t="s">
        <v>87</v>
      </c>
      <c r="B84" s="100">
        <v>69181</v>
      </c>
      <c r="C84" s="100">
        <v>29148</v>
      </c>
      <c r="D84" s="100">
        <v>25140</v>
      </c>
      <c r="E84" s="139">
        <v>3956</v>
      </c>
      <c r="F84" s="139">
        <v>10937</v>
      </c>
      <c r="G84" s="123">
        <f aca="true" t="shared" si="17" ref="G84:G110">H84+I84+J84</f>
        <v>114624</v>
      </c>
      <c r="H84" s="154">
        <v>52708</v>
      </c>
      <c r="I84" s="154">
        <v>3237</v>
      </c>
      <c r="J84" s="154">
        <v>58679</v>
      </c>
      <c r="K84" s="154">
        <v>16123</v>
      </c>
      <c r="L84" s="154" t="s">
        <v>138</v>
      </c>
      <c r="M84" s="139" t="s">
        <v>138</v>
      </c>
      <c r="N84" s="154">
        <v>71974</v>
      </c>
      <c r="O84" s="154">
        <v>32047</v>
      </c>
      <c r="P84" s="154">
        <v>303950</v>
      </c>
      <c r="Q84" s="43" t="s">
        <v>87</v>
      </c>
    </row>
    <row r="85" spans="1:17" ht="15.75" customHeight="1" hidden="1">
      <c r="A85" s="43"/>
      <c r="B85" s="100">
        <v>74612</v>
      </c>
      <c r="C85" s="100">
        <v>33404</v>
      </c>
      <c r="D85" s="100">
        <v>25586</v>
      </c>
      <c r="E85" s="139">
        <v>3655</v>
      </c>
      <c r="F85" s="139">
        <v>11968</v>
      </c>
      <c r="G85" s="123">
        <f t="shared" si="17"/>
        <v>115851</v>
      </c>
      <c r="H85" s="154">
        <v>53243</v>
      </c>
      <c r="I85" s="154">
        <v>3318</v>
      </c>
      <c r="J85" s="154">
        <v>59290</v>
      </c>
      <c r="K85" s="154">
        <v>20137</v>
      </c>
      <c r="L85" s="154" t="s">
        <v>138</v>
      </c>
      <c r="M85" s="139" t="s">
        <v>138</v>
      </c>
      <c r="N85" s="154">
        <v>73240</v>
      </c>
      <c r="O85" s="154">
        <v>34515</v>
      </c>
      <c r="P85" s="154">
        <v>318354</v>
      </c>
      <c r="Q85" s="43"/>
    </row>
    <row r="86" spans="1:17" ht="15.75" customHeight="1" hidden="1">
      <c r="A86" s="43"/>
      <c r="B86" s="100">
        <v>90164</v>
      </c>
      <c r="C86" s="100">
        <v>41075</v>
      </c>
      <c r="D86" s="100">
        <v>31261</v>
      </c>
      <c r="E86" s="139">
        <v>3385</v>
      </c>
      <c r="F86" s="139">
        <v>14443</v>
      </c>
      <c r="G86" s="123">
        <f t="shared" si="17"/>
        <v>121975</v>
      </c>
      <c r="H86" s="154">
        <v>56980</v>
      </c>
      <c r="I86" s="154">
        <v>3261</v>
      </c>
      <c r="J86" s="154">
        <v>61734</v>
      </c>
      <c r="K86" s="154">
        <v>16010</v>
      </c>
      <c r="L86" s="154" t="s">
        <v>138</v>
      </c>
      <c r="M86" s="139" t="s">
        <v>138</v>
      </c>
      <c r="N86" s="154">
        <v>74976</v>
      </c>
      <c r="O86" s="154">
        <v>41578</v>
      </c>
      <c r="P86" s="154">
        <v>344704</v>
      </c>
      <c r="Q86" s="43"/>
    </row>
    <row r="87" spans="1:17" ht="15.75" customHeight="1" hidden="1">
      <c r="A87" s="43" t="s">
        <v>88</v>
      </c>
      <c r="B87" s="100">
        <f>SUM(C87:F87)</f>
        <v>90808</v>
      </c>
      <c r="C87" s="100">
        <v>39323</v>
      </c>
      <c r="D87" s="100">
        <v>30779</v>
      </c>
      <c r="E87" s="139">
        <v>4691</v>
      </c>
      <c r="F87" s="139">
        <v>16015</v>
      </c>
      <c r="G87" s="123">
        <f t="shared" si="17"/>
        <v>124834.05</v>
      </c>
      <c r="H87" s="154">
        <v>55268</v>
      </c>
      <c r="I87" s="154">
        <v>3559.05</v>
      </c>
      <c r="J87" s="154">
        <v>66007</v>
      </c>
      <c r="K87" s="154">
        <v>21244</v>
      </c>
      <c r="L87" s="154" t="s">
        <v>138</v>
      </c>
      <c r="M87" s="139" t="s">
        <v>138</v>
      </c>
      <c r="N87" s="154">
        <v>76176</v>
      </c>
      <c r="O87" s="154">
        <v>43716</v>
      </c>
      <c r="P87" s="154">
        <v>356778</v>
      </c>
      <c r="Q87" s="43" t="s">
        <v>88</v>
      </c>
    </row>
    <row r="88" spans="1:17" s="112" customFormat="1" ht="15.75" customHeight="1" hidden="1">
      <c r="A88" s="56"/>
      <c r="G88" s="123"/>
      <c r="H88" s="301"/>
      <c r="I88" s="301"/>
      <c r="J88" s="301"/>
      <c r="K88" s="301"/>
      <c r="L88" s="301"/>
      <c r="N88" s="301"/>
      <c r="O88" s="301"/>
      <c r="P88" s="301"/>
      <c r="Q88" s="111"/>
    </row>
    <row r="89" spans="1:17" ht="15.75" customHeight="1" hidden="1">
      <c r="A89" s="6">
        <v>2003</v>
      </c>
      <c r="G89" s="123"/>
      <c r="Q89" s="6">
        <v>2003</v>
      </c>
    </row>
    <row r="90" spans="1:17" ht="15.75" customHeight="1" hidden="1">
      <c r="A90" s="56" t="s">
        <v>25</v>
      </c>
      <c r="B90" s="100">
        <f aca="true" t="shared" si="18" ref="B90:B116">SUM(C90:F90)</f>
        <v>85961</v>
      </c>
      <c r="C90" s="100">
        <v>34777</v>
      </c>
      <c r="D90" s="100">
        <v>34790</v>
      </c>
      <c r="E90" s="100">
        <v>5999</v>
      </c>
      <c r="F90" s="100">
        <v>10395</v>
      </c>
      <c r="G90" s="123">
        <f t="shared" si="17"/>
        <v>131168</v>
      </c>
      <c r="H90" s="154">
        <v>61923</v>
      </c>
      <c r="I90" s="154">
        <v>3703</v>
      </c>
      <c r="J90" s="154">
        <v>65542</v>
      </c>
      <c r="K90" s="154">
        <v>18331</v>
      </c>
      <c r="L90" s="154" t="s">
        <v>138</v>
      </c>
      <c r="M90" s="109" t="s">
        <v>138</v>
      </c>
      <c r="N90" s="154">
        <v>79487</v>
      </c>
      <c r="O90" s="154">
        <v>32321</v>
      </c>
      <c r="P90" s="154">
        <v>347269</v>
      </c>
      <c r="Q90" s="57" t="s">
        <v>25</v>
      </c>
    </row>
    <row r="91" spans="1:17" ht="15.75" customHeight="1" hidden="1">
      <c r="A91" s="56" t="s">
        <v>26</v>
      </c>
      <c r="B91" s="100">
        <f t="shared" si="18"/>
        <v>88993</v>
      </c>
      <c r="C91" s="100">
        <v>36135</v>
      </c>
      <c r="D91" s="100">
        <v>35365</v>
      </c>
      <c r="E91" s="100">
        <v>4753</v>
      </c>
      <c r="F91" s="100">
        <v>12740</v>
      </c>
      <c r="G91" s="123">
        <f t="shared" si="17"/>
        <v>135457</v>
      </c>
      <c r="H91" s="154">
        <v>66197</v>
      </c>
      <c r="I91" s="154">
        <v>3162</v>
      </c>
      <c r="J91" s="154">
        <v>66098</v>
      </c>
      <c r="K91" s="154">
        <v>17048</v>
      </c>
      <c r="L91" s="154" t="s">
        <v>138</v>
      </c>
      <c r="M91" s="109" t="s">
        <v>138</v>
      </c>
      <c r="N91" s="154">
        <v>85689</v>
      </c>
      <c r="O91" s="154">
        <v>36637</v>
      </c>
      <c r="P91" s="154">
        <v>363824</v>
      </c>
      <c r="Q91" s="57" t="s">
        <v>26</v>
      </c>
    </row>
    <row r="92" spans="1:17" ht="15.75" customHeight="1" hidden="1">
      <c r="A92" s="43" t="s">
        <v>114</v>
      </c>
      <c r="B92" s="100">
        <f t="shared" si="18"/>
        <v>87883.56</v>
      </c>
      <c r="C92" s="100">
        <v>36224.32</v>
      </c>
      <c r="D92" s="100">
        <v>33116.63</v>
      </c>
      <c r="E92" s="100">
        <v>4706.83</v>
      </c>
      <c r="F92" s="100">
        <v>13835.78</v>
      </c>
      <c r="G92" s="123">
        <f t="shared" si="17"/>
        <v>129160.70999999999</v>
      </c>
      <c r="H92" s="154">
        <v>59423.6</v>
      </c>
      <c r="I92" s="154">
        <v>3295.74</v>
      </c>
      <c r="J92" s="154">
        <v>66441.37</v>
      </c>
      <c r="K92" s="154">
        <v>19668</v>
      </c>
      <c r="L92" s="154" t="s">
        <v>138</v>
      </c>
      <c r="M92" s="109" t="s">
        <v>138</v>
      </c>
      <c r="N92" s="154">
        <v>84652.54</v>
      </c>
      <c r="O92" s="154">
        <v>36798.89</v>
      </c>
      <c r="P92" s="154">
        <v>358163.29</v>
      </c>
      <c r="Q92" s="43" t="s">
        <v>114</v>
      </c>
    </row>
    <row r="93" spans="1:17" ht="15.75" customHeight="1" hidden="1">
      <c r="A93" s="56" t="s">
        <v>28</v>
      </c>
      <c r="B93" s="100">
        <f t="shared" si="18"/>
        <v>88220.32</v>
      </c>
      <c r="C93" s="100">
        <v>38260.48</v>
      </c>
      <c r="D93" s="100">
        <v>32899.93</v>
      </c>
      <c r="E93" s="100">
        <v>4107.97</v>
      </c>
      <c r="F93" s="100">
        <v>12951.94</v>
      </c>
      <c r="G93" s="123">
        <f t="shared" si="17"/>
        <v>140306.58000000002</v>
      </c>
      <c r="H93" s="154">
        <v>67147.44</v>
      </c>
      <c r="I93" s="154">
        <v>3233.86</v>
      </c>
      <c r="J93" s="154">
        <v>69925.28</v>
      </c>
      <c r="K93" s="154">
        <v>18776</v>
      </c>
      <c r="L93" s="154" t="s">
        <v>138</v>
      </c>
      <c r="M93" s="109" t="s">
        <v>138</v>
      </c>
      <c r="N93" s="154">
        <v>77917.17</v>
      </c>
      <c r="O93" s="154">
        <v>37188.43</v>
      </c>
      <c r="P93" s="154">
        <v>362408.37</v>
      </c>
      <c r="Q93" s="57" t="s">
        <v>28</v>
      </c>
    </row>
    <row r="94" spans="1:17" ht="15.75" customHeight="1" hidden="1">
      <c r="A94" s="56" t="s">
        <v>29</v>
      </c>
      <c r="B94" s="100">
        <f t="shared" si="18"/>
        <v>88489.01999999999</v>
      </c>
      <c r="C94" s="100">
        <v>38532.31</v>
      </c>
      <c r="D94" s="100">
        <v>30945.96</v>
      </c>
      <c r="E94" s="100">
        <v>6202.76</v>
      </c>
      <c r="F94" s="100">
        <v>12807.99</v>
      </c>
      <c r="G94" s="123">
        <f t="shared" si="17"/>
        <v>137699.66</v>
      </c>
      <c r="H94" s="154">
        <v>63478.33</v>
      </c>
      <c r="I94" s="154">
        <v>4705.23</v>
      </c>
      <c r="J94" s="154">
        <v>69516.1</v>
      </c>
      <c r="K94" s="154">
        <v>14525</v>
      </c>
      <c r="L94" s="154" t="s">
        <v>138</v>
      </c>
      <c r="M94" s="109" t="s">
        <v>138</v>
      </c>
      <c r="N94" s="154">
        <v>78655.98</v>
      </c>
      <c r="O94" s="154">
        <v>35001.6</v>
      </c>
      <c r="P94" s="154">
        <v>354371.28</v>
      </c>
      <c r="Q94" s="57" t="s">
        <v>29</v>
      </c>
    </row>
    <row r="95" spans="1:17" ht="15.75" customHeight="1" hidden="1">
      <c r="A95" s="43" t="s">
        <v>86</v>
      </c>
      <c r="B95" s="100">
        <f t="shared" si="18"/>
        <v>87746.5</v>
      </c>
      <c r="C95" s="100">
        <v>31874.49</v>
      </c>
      <c r="D95" s="100">
        <v>35305.37</v>
      </c>
      <c r="E95" s="100">
        <v>5653.85</v>
      </c>
      <c r="F95" s="100">
        <v>14912.79</v>
      </c>
      <c r="G95" s="123">
        <f t="shared" si="17"/>
        <v>148823.97</v>
      </c>
      <c r="H95" s="154">
        <v>73039.37</v>
      </c>
      <c r="I95" s="154">
        <v>4469</v>
      </c>
      <c r="J95" s="154">
        <v>71315.6</v>
      </c>
      <c r="K95" s="154">
        <v>14706</v>
      </c>
      <c r="L95" s="154" t="s">
        <v>138</v>
      </c>
      <c r="M95" s="109" t="s">
        <v>138</v>
      </c>
      <c r="N95" s="154">
        <v>80364.99</v>
      </c>
      <c r="O95" s="154">
        <v>31917.44</v>
      </c>
      <c r="P95" s="154">
        <v>363558.41</v>
      </c>
      <c r="Q95" s="43" t="s">
        <v>86</v>
      </c>
    </row>
    <row r="96" spans="1:17" ht="15.75" customHeight="1" hidden="1">
      <c r="A96" s="56" t="s">
        <v>31</v>
      </c>
      <c r="B96" s="100">
        <f t="shared" si="18"/>
        <v>102694</v>
      </c>
      <c r="C96" s="100">
        <v>40455</v>
      </c>
      <c r="D96" s="100">
        <v>39004</v>
      </c>
      <c r="E96" s="100">
        <v>5601</v>
      </c>
      <c r="F96" s="100">
        <v>17634</v>
      </c>
      <c r="G96" s="123">
        <f t="shared" si="17"/>
        <v>145847</v>
      </c>
      <c r="H96" s="154">
        <v>67004</v>
      </c>
      <c r="I96" s="154">
        <v>4864</v>
      </c>
      <c r="J96" s="154">
        <v>73979</v>
      </c>
      <c r="K96" s="154">
        <v>13798</v>
      </c>
      <c r="L96" s="142" t="s">
        <v>138</v>
      </c>
      <c r="M96" s="111" t="s">
        <v>138</v>
      </c>
      <c r="N96" s="154">
        <v>82803</v>
      </c>
      <c r="O96" s="154">
        <v>30081</v>
      </c>
      <c r="P96" s="154">
        <v>375224</v>
      </c>
      <c r="Q96" s="57" t="s">
        <v>31</v>
      </c>
    </row>
    <row r="97" spans="1:17" ht="15.75" customHeight="1" hidden="1">
      <c r="A97" s="56" t="s">
        <v>32</v>
      </c>
      <c r="B97" s="100">
        <f t="shared" si="18"/>
        <v>65673</v>
      </c>
      <c r="C97" s="100">
        <v>41610</v>
      </c>
      <c r="D97" s="100" t="s">
        <v>155</v>
      </c>
      <c r="E97" s="100">
        <v>6140</v>
      </c>
      <c r="F97" s="100">
        <v>17923</v>
      </c>
      <c r="G97" s="123">
        <f t="shared" si="17"/>
        <v>150977</v>
      </c>
      <c r="H97" s="154">
        <v>67311</v>
      </c>
      <c r="I97" s="154">
        <v>3566</v>
      </c>
      <c r="J97" s="154">
        <v>80100</v>
      </c>
      <c r="K97" s="154">
        <v>23851</v>
      </c>
      <c r="L97" s="142" t="s">
        <v>138</v>
      </c>
      <c r="M97" s="111" t="s">
        <v>138</v>
      </c>
      <c r="N97" s="154">
        <v>80412</v>
      </c>
      <c r="O97" s="154">
        <v>30014</v>
      </c>
      <c r="P97" s="154">
        <v>394153</v>
      </c>
      <c r="Q97" s="57" t="s">
        <v>32</v>
      </c>
    </row>
    <row r="98" spans="1:17" ht="15.75" customHeight="1" hidden="1">
      <c r="A98" s="43" t="s">
        <v>87</v>
      </c>
      <c r="B98" s="100">
        <f t="shared" si="18"/>
        <v>99161</v>
      </c>
      <c r="C98" s="100">
        <v>39962</v>
      </c>
      <c r="D98" s="100">
        <v>35710</v>
      </c>
      <c r="E98" s="100">
        <v>4758</v>
      </c>
      <c r="F98" s="100">
        <v>18731</v>
      </c>
      <c r="G98" s="123">
        <f t="shared" si="17"/>
        <v>153553</v>
      </c>
      <c r="H98" s="154">
        <v>69831</v>
      </c>
      <c r="I98" s="154">
        <v>4185</v>
      </c>
      <c r="J98" s="154">
        <v>79537</v>
      </c>
      <c r="K98" s="154">
        <v>21234</v>
      </c>
      <c r="L98" s="142">
        <v>300</v>
      </c>
      <c r="M98" s="111" t="s">
        <v>138</v>
      </c>
      <c r="N98" s="154">
        <v>82276</v>
      </c>
      <c r="O98" s="154">
        <v>29617</v>
      </c>
      <c r="P98" s="154">
        <v>386140</v>
      </c>
      <c r="Q98" s="43" t="s">
        <v>87</v>
      </c>
    </row>
    <row r="99" spans="1:17" ht="15.75" customHeight="1" hidden="1">
      <c r="A99" s="56" t="s">
        <v>35</v>
      </c>
      <c r="B99" s="100">
        <f t="shared" si="18"/>
        <v>97812</v>
      </c>
      <c r="C99" s="105">
        <v>43334</v>
      </c>
      <c r="D99" s="105">
        <v>33591</v>
      </c>
      <c r="E99" s="105">
        <v>5098</v>
      </c>
      <c r="F99" s="105">
        <v>15789</v>
      </c>
      <c r="G99" s="123">
        <f t="shared" si="17"/>
        <v>162013</v>
      </c>
      <c r="H99" s="142">
        <v>77151</v>
      </c>
      <c r="I99" s="142">
        <v>3935</v>
      </c>
      <c r="J99" s="142">
        <v>80927</v>
      </c>
      <c r="K99" s="142">
        <v>23911</v>
      </c>
      <c r="L99" s="142" t="s">
        <v>138</v>
      </c>
      <c r="M99" s="105" t="s">
        <v>138</v>
      </c>
      <c r="N99" s="142">
        <v>89855</v>
      </c>
      <c r="O99" s="142">
        <v>32259</v>
      </c>
      <c r="P99" s="142">
        <v>405851</v>
      </c>
      <c r="Q99" s="57" t="s">
        <v>35</v>
      </c>
    </row>
    <row r="100" spans="1:17" ht="15.75" customHeight="1" hidden="1">
      <c r="A100" s="56" t="s">
        <v>36</v>
      </c>
      <c r="B100" s="100">
        <f t="shared" si="18"/>
        <v>100695</v>
      </c>
      <c r="C100" s="105">
        <v>36995</v>
      </c>
      <c r="D100" s="105">
        <v>35413</v>
      </c>
      <c r="E100" s="105">
        <v>5453</v>
      </c>
      <c r="F100" s="105">
        <v>22834</v>
      </c>
      <c r="G100" s="123">
        <f t="shared" si="17"/>
        <v>165617</v>
      </c>
      <c r="H100" s="142">
        <v>77642</v>
      </c>
      <c r="I100" s="142">
        <v>5137</v>
      </c>
      <c r="J100" s="142">
        <v>82838</v>
      </c>
      <c r="K100" s="142">
        <v>22654</v>
      </c>
      <c r="L100" s="142" t="s">
        <v>138</v>
      </c>
      <c r="M100" s="105" t="s">
        <v>138</v>
      </c>
      <c r="N100" s="142">
        <v>87739</v>
      </c>
      <c r="O100" s="142">
        <v>34857</v>
      </c>
      <c r="P100" s="142">
        <v>411563</v>
      </c>
      <c r="Q100" s="57" t="s">
        <v>36</v>
      </c>
    </row>
    <row r="101" spans="1:17" ht="15.75" customHeight="1" hidden="1">
      <c r="A101" s="43" t="s">
        <v>88</v>
      </c>
      <c r="B101" s="100">
        <f t="shared" si="18"/>
        <v>94414</v>
      </c>
      <c r="C101" s="105">
        <v>37861</v>
      </c>
      <c r="D101" s="105">
        <v>34746</v>
      </c>
      <c r="E101" s="105">
        <v>4068</v>
      </c>
      <c r="F101" s="105">
        <v>17739</v>
      </c>
      <c r="G101" s="123">
        <f t="shared" si="17"/>
        <v>161754</v>
      </c>
      <c r="H101" s="142">
        <v>71731</v>
      </c>
      <c r="I101" s="142">
        <v>5937</v>
      </c>
      <c r="J101" s="142">
        <v>84086</v>
      </c>
      <c r="K101" s="142">
        <v>23196</v>
      </c>
      <c r="L101" s="142" t="s">
        <v>138</v>
      </c>
      <c r="M101" s="105" t="s">
        <v>138</v>
      </c>
      <c r="N101" s="142">
        <v>84301</v>
      </c>
      <c r="O101" s="142">
        <v>36113</v>
      </c>
      <c r="P101" s="142">
        <v>399778</v>
      </c>
      <c r="Q101" s="43" t="s">
        <v>88</v>
      </c>
    </row>
    <row r="102" spans="1:17" ht="15.75" customHeight="1" hidden="1">
      <c r="A102" s="43"/>
      <c r="B102" s="100"/>
      <c r="C102" s="141"/>
      <c r="D102" s="142"/>
      <c r="E102" s="142"/>
      <c r="F102" s="142"/>
      <c r="G102" s="123"/>
      <c r="H102" s="142"/>
      <c r="I102" s="142"/>
      <c r="J102" s="142"/>
      <c r="K102" s="142"/>
      <c r="L102" s="142"/>
      <c r="M102" s="111"/>
      <c r="N102" s="142"/>
      <c r="O102" s="142"/>
      <c r="P102" s="142"/>
      <c r="Q102" s="57"/>
    </row>
    <row r="103" spans="1:17" ht="15.75" customHeight="1" hidden="1">
      <c r="A103" s="6">
        <v>2004</v>
      </c>
      <c r="B103" s="100"/>
      <c r="C103" s="141"/>
      <c r="D103" s="142"/>
      <c r="E103" s="142"/>
      <c r="F103" s="142"/>
      <c r="G103" s="123"/>
      <c r="H103" s="142"/>
      <c r="I103" s="142"/>
      <c r="J103" s="142"/>
      <c r="K103" s="142"/>
      <c r="L103" s="142"/>
      <c r="M103" s="111"/>
      <c r="N103" s="142"/>
      <c r="O103" s="142"/>
      <c r="P103" s="142"/>
      <c r="Q103" s="6">
        <v>2004</v>
      </c>
    </row>
    <row r="104" spans="1:17" ht="15.75" customHeight="1" hidden="1">
      <c r="A104" s="56" t="s">
        <v>25</v>
      </c>
      <c r="B104" s="100">
        <f t="shared" si="18"/>
        <v>96813</v>
      </c>
      <c r="C104" s="105">
        <v>36679</v>
      </c>
      <c r="D104" s="105">
        <v>37861</v>
      </c>
      <c r="E104" s="105">
        <v>4961</v>
      </c>
      <c r="F104" s="105">
        <v>17312</v>
      </c>
      <c r="G104" s="123">
        <f t="shared" si="17"/>
        <v>172223</v>
      </c>
      <c r="H104" s="142">
        <v>82352</v>
      </c>
      <c r="I104" s="142">
        <v>5638</v>
      </c>
      <c r="J104" s="142">
        <v>84233</v>
      </c>
      <c r="K104" s="142">
        <v>19807</v>
      </c>
      <c r="L104" s="142" t="s">
        <v>138</v>
      </c>
      <c r="M104" s="105" t="s">
        <v>138</v>
      </c>
      <c r="N104" s="142">
        <v>83120</v>
      </c>
      <c r="O104" s="142">
        <v>39523</v>
      </c>
      <c r="P104" s="142">
        <v>411488</v>
      </c>
      <c r="Q104" s="56" t="s">
        <v>25</v>
      </c>
    </row>
    <row r="105" spans="1:17" ht="15.75" customHeight="1" hidden="1">
      <c r="A105" s="56" t="s">
        <v>26</v>
      </c>
      <c r="B105" s="100">
        <f t="shared" si="18"/>
        <v>107636</v>
      </c>
      <c r="C105" s="100">
        <v>39161</v>
      </c>
      <c r="D105" s="100">
        <v>41359</v>
      </c>
      <c r="E105" s="100">
        <v>7859</v>
      </c>
      <c r="F105" s="100">
        <v>19257</v>
      </c>
      <c r="G105" s="123">
        <f t="shared" si="17"/>
        <v>169819</v>
      </c>
      <c r="H105" s="154">
        <v>78814</v>
      </c>
      <c r="I105" s="154">
        <v>5177</v>
      </c>
      <c r="J105" s="154">
        <v>85828</v>
      </c>
      <c r="K105" s="154">
        <v>23365</v>
      </c>
      <c r="L105" s="154" t="s">
        <v>138</v>
      </c>
      <c r="M105" s="100" t="s">
        <v>138</v>
      </c>
      <c r="N105" s="154">
        <v>84679</v>
      </c>
      <c r="O105" s="154">
        <v>43587</v>
      </c>
      <c r="P105" s="154">
        <v>429088</v>
      </c>
      <c r="Q105" s="56" t="s">
        <v>26</v>
      </c>
    </row>
    <row r="106" spans="1:17" ht="15.75" customHeight="1" hidden="1">
      <c r="A106" s="56" t="s">
        <v>27</v>
      </c>
      <c r="B106" s="100">
        <f t="shared" si="18"/>
        <v>105724</v>
      </c>
      <c r="C106" s="100">
        <v>42664</v>
      </c>
      <c r="D106" s="100">
        <v>39170</v>
      </c>
      <c r="E106" s="100">
        <v>6183</v>
      </c>
      <c r="F106" s="100">
        <v>17707</v>
      </c>
      <c r="G106" s="123">
        <f t="shared" si="17"/>
        <v>169944</v>
      </c>
      <c r="H106" s="154">
        <v>79836</v>
      </c>
      <c r="I106" s="154">
        <v>5719</v>
      </c>
      <c r="J106" s="154">
        <v>84389</v>
      </c>
      <c r="K106" s="154">
        <v>24548</v>
      </c>
      <c r="L106" s="154" t="s">
        <v>138</v>
      </c>
      <c r="M106" s="100" t="s">
        <v>138</v>
      </c>
      <c r="N106" s="154">
        <v>79886</v>
      </c>
      <c r="O106" s="154">
        <v>56408</v>
      </c>
      <c r="P106" s="154">
        <v>436512</v>
      </c>
      <c r="Q106" s="56" t="s">
        <v>27</v>
      </c>
    </row>
    <row r="107" spans="1:17" ht="15.75" customHeight="1" hidden="1">
      <c r="A107" s="43" t="s">
        <v>114</v>
      </c>
      <c r="B107" s="100">
        <f>SUM(C107:F107)</f>
        <v>105724</v>
      </c>
      <c r="C107" s="100">
        <v>42664</v>
      </c>
      <c r="D107" s="100">
        <v>39170</v>
      </c>
      <c r="E107" s="100">
        <v>6183</v>
      </c>
      <c r="F107" s="100">
        <v>17707</v>
      </c>
      <c r="G107" s="123">
        <f>H107+I107+J107</f>
        <v>169944</v>
      </c>
      <c r="H107" s="154">
        <v>79836</v>
      </c>
      <c r="I107" s="154">
        <v>5719</v>
      </c>
      <c r="J107" s="154">
        <v>84389</v>
      </c>
      <c r="K107" s="154">
        <v>24548</v>
      </c>
      <c r="L107" s="191" t="s">
        <v>138</v>
      </c>
      <c r="M107" s="99" t="s">
        <v>138</v>
      </c>
      <c r="N107" s="154">
        <v>79886</v>
      </c>
      <c r="O107" s="154">
        <v>56408</v>
      </c>
      <c r="P107" s="154">
        <v>436512</v>
      </c>
      <c r="Q107" s="43" t="s">
        <v>114</v>
      </c>
    </row>
    <row r="108" spans="1:17" ht="15.75" customHeight="1" hidden="1">
      <c r="A108" s="56" t="s">
        <v>28</v>
      </c>
      <c r="B108" s="100">
        <f t="shared" si="18"/>
        <v>102681</v>
      </c>
      <c r="C108" s="100">
        <v>43981</v>
      </c>
      <c r="D108" s="100">
        <v>38668</v>
      </c>
      <c r="E108" s="100">
        <v>7485</v>
      </c>
      <c r="F108" s="100">
        <v>12547</v>
      </c>
      <c r="G108" s="123">
        <f t="shared" si="17"/>
        <v>168190</v>
      </c>
      <c r="H108" s="154">
        <v>76346</v>
      </c>
      <c r="I108" s="154">
        <v>4517</v>
      </c>
      <c r="J108" s="154">
        <v>87327</v>
      </c>
      <c r="K108" s="154">
        <v>27851</v>
      </c>
      <c r="L108" s="191" t="s">
        <v>138</v>
      </c>
      <c r="M108" s="99" t="s">
        <v>138</v>
      </c>
      <c r="N108" s="154">
        <v>83122</v>
      </c>
      <c r="O108" s="154">
        <v>49244</v>
      </c>
      <c r="P108" s="154">
        <v>431091</v>
      </c>
      <c r="Q108" s="56" t="s">
        <v>28</v>
      </c>
    </row>
    <row r="109" spans="1:17" ht="15.75" customHeight="1" hidden="1">
      <c r="A109" s="56" t="s">
        <v>29</v>
      </c>
      <c r="B109" s="100">
        <f t="shared" si="18"/>
        <v>113754</v>
      </c>
      <c r="C109" s="100">
        <v>44575</v>
      </c>
      <c r="D109" s="100">
        <v>43328</v>
      </c>
      <c r="E109" s="100">
        <v>8539</v>
      </c>
      <c r="F109" s="100">
        <v>17312</v>
      </c>
      <c r="G109" s="123">
        <f t="shared" si="17"/>
        <v>183532</v>
      </c>
      <c r="H109" s="154">
        <v>88429</v>
      </c>
      <c r="I109" s="154">
        <v>5300</v>
      </c>
      <c r="J109" s="154">
        <v>89803</v>
      </c>
      <c r="K109" s="154">
        <v>21632</v>
      </c>
      <c r="L109" s="191" t="s">
        <v>138</v>
      </c>
      <c r="M109" s="99" t="s">
        <v>138</v>
      </c>
      <c r="N109" s="154">
        <v>84990</v>
      </c>
      <c r="O109" s="154">
        <v>40197</v>
      </c>
      <c r="P109" s="154">
        <v>444107</v>
      </c>
      <c r="Q109" s="56" t="s">
        <v>29</v>
      </c>
    </row>
    <row r="110" spans="1:17" ht="15.75" customHeight="1" hidden="1">
      <c r="A110" s="56" t="s">
        <v>30</v>
      </c>
      <c r="B110" s="100">
        <f t="shared" si="18"/>
        <v>115299</v>
      </c>
      <c r="C110" s="100">
        <v>48510</v>
      </c>
      <c r="D110" s="100">
        <v>41003</v>
      </c>
      <c r="E110" s="100">
        <v>7429</v>
      </c>
      <c r="F110" s="100">
        <v>18357</v>
      </c>
      <c r="G110" s="123">
        <f t="shared" si="17"/>
        <v>187805</v>
      </c>
      <c r="H110" s="154">
        <v>87915</v>
      </c>
      <c r="I110" s="154">
        <v>6209</v>
      </c>
      <c r="J110" s="154">
        <v>93681</v>
      </c>
      <c r="K110" s="154">
        <v>21816</v>
      </c>
      <c r="L110" s="191" t="s">
        <v>138</v>
      </c>
      <c r="M110" s="99" t="s">
        <v>138</v>
      </c>
      <c r="N110" s="154">
        <v>87784</v>
      </c>
      <c r="O110" s="154">
        <v>40035</v>
      </c>
      <c r="P110" s="154">
        <v>453079</v>
      </c>
      <c r="Q110" s="56" t="s">
        <v>30</v>
      </c>
    </row>
    <row r="111" spans="1:17" ht="15.75" customHeight="1" hidden="1">
      <c r="A111" s="56" t="s">
        <v>86</v>
      </c>
      <c r="B111" s="100">
        <f>SUM(C111:F111)</f>
        <v>115299</v>
      </c>
      <c r="C111" s="100">
        <v>48510</v>
      </c>
      <c r="D111" s="100">
        <v>41003</v>
      </c>
      <c r="E111" s="100">
        <v>7429</v>
      </c>
      <c r="F111" s="100">
        <v>18357</v>
      </c>
      <c r="G111" s="123">
        <f>H111+I111+J111</f>
        <v>187805</v>
      </c>
      <c r="H111" s="154">
        <v>87915</v>
      </c>
      <c r="I111" s="154">
        <v>6209</v>
      </c>
      <c r="J111" s="154">
        <v>93681</v>
      </c>
      <c r="K111" s="154">
        <v>21816</v>
      </c>
      <c r="L111" s="191" t="s">
        <v>138</v>
      </c>
      <c r="M111" s="99" t="s">
        <v>138</v>
      </c>
      <c r="N111" s="154">
        <v>87784</v>
      </c>
      <c r="O111" s="154">
        <v>40035</v>
      </c>
      <c r="P111" s="154">
        <v>453079</v>
      </c>
      <c r="Q111" s="56" t="s">
        <v>86</v>
      </c>
    </row>
    <row r="112" spans="1:17" ht="15.75" customHeight="1" hidden="1">
      <c r="A112" s="6" t="s">
        <v>31</v>
      </c>
      <c r="B112" s="103">
        <f t="shared" si="18"/>
        <v>121826</v>
      </c>
      <c r="C112" s="103">
        <v>48730</v>
      </c>
      <c r="D112" s="103">
        <v>45764</v>
      </c>
      <c r="E112" s="103">
        <v>8449</v>
      </c>
      <c r="F112" s="103">
        <v>18883</v>
      </c>
      <c r="G112" s="103">
        <v>190693</v>
      </c>
      <c r="H112" s="142">
        <v>88846</v>
      </c>
      <c r="I112" s="142">
        <v>5304</v>
      </c>
      <c r="J112" s="142">
        <v>96154</v>
      </c>
      <c r="K112" s="142">
        <v>23270</v>
      </c>
      <c r="L112" s="191" t="s">
        <v>138</v>
      </c>
      <c r="M112" s="99" t="s">
        <v>138</v>
      </c>
      <c r="N112" s="142">
        <v>91137</v>
      </c>
      <c r="O112" s="142">
        <v>46685</v>
      </c>
      <c r="P112" s="142">
        <v>473611</v>
      </c>
      <c r="Q112" s="56" t="s">
        <v>31</v>
      </c>
    </row>
    <row r="113" spans="1:17" ht="15.75" customHeight="1" hidden="1">
      <c r="A113" s="56" t="s">
        <v>32</v>
      </c>
      <c r="B113" s="103">
        <f t="shared" si="18"/>
        <v>131418</v>
      </c>
      <c r="C113" s="103">
        <v>54245</v>
      </c>
      <c r="D113" s="103">
        <v>45651</v>
      </c>
      <c r="E113" s="103">
        <v>10693</v>
      </c>
      <c r="F113" s="103">
        <v>20829</v>
      </c>
      <c r="G113" s="103">
        <v>194752</v>
      </c>
      <c r="H113" s="142">
        <v>87629</v>
      </c>
      <c r="I113" s="142">
        <v>5837</v>
      </c>
      <c r="J113" s="142">
        <v>99290</v>
      </c>
      <c r="K113" s="142">
        <v>24899</v>
      </c>
      <c r="L113" s="191" t="s">
        <v>138</v>
      </c>
      <c r="M113" s="99" t="s">
        <v>138</v>
      </c>
      <c r="N113" s="142">
        <v>94618</v>
      </c>
      <c r="O113" s="142">
        <v>43801</v>
      </c>
      <c r="P113" s="142">
        <v>489488</v>
      </c>
      <c r="Q113" s="56" t="s">
        <v>32</v>
      </c>
    </row>
    <row r="114" spans="1:17" ht="15.75" customHeight="1" hidden="1">
      <c r="A114" s="6" t="s">
        <v>33</v>
      </c>
      <c r="B114" s="103">
        <f t="shared" si="18"/>
        <v>140810</v>
      </c>
      <c r="C114" s="103">
        <v>56388</v>
      </c>
      <c r="D114" s="103">
        <v>47986</v>
      </c>
      <c r="E114" s="103">
        <v>12290</v>
      </c>
      <c r="F114" s="103">
        <v>24146</v>
      </c>
      <c r="G114" s="103">
        <v>203299</v>
      </c>
      <c r="H114" s="142">
        <v>93347</v>
      </c>
      <c r="I114" s="142">
        <v>5617</v>
      </c>
      <c r="J114" s="142">
        <v>103633</v>
      </c>
      <c r="K114" s="142">
        <v>24511</v>
      </c>
      <c r="L114" s="191" t="s">
        <v>138</v>
      </c>
      <c r="M114" s="99" t="s">
        <v>138</v>
      </c>
      <c r="N114" s="142">
        <v>98162</v>
      </c>
      <c r="O114" s="142">
        <v>40799</v>
      </c>
      <c r="P114" s="142">
        <v>507581</v>
      </c>
      <c r="Q114" s="56" t="s">
        <v>33</v>
      </c>
    </row>
    <row r="115" spans="1:17" ht="15.75" customHeight="1" hidden="1">
      <c r="A115" s="6" t="s">
        <v>87</v>
      </c>
      <c r="B115" s="103">
        <f>SUM(C115:F115)</f>
        <v>140810</v>
      </c>
      <c r="C115" s="103">
        <v>56388</v>
      </c>
      <c r="D115" s="103">
        <v>47986</v>
      </c>
      <c r="E115" s="103">
        <v>12290</v>
      </c>
      <c r="F115" s="103">
        <v>24146</v>
      </c>
      <c r="G115" s="103">
        <v>203299</v>
      </c>
      <c r="H115" s="142">
        <v>93347</v>
      </c>
      <c r="I115" s="142">
        <v>5617</v>
      </c>
      <c r="J115" s="142">
        <v>103633</v>
      </c>
      <c r="K115" s="142">
        <v>24511</v>
      </c>
      <c r="L115" s="191" t="s">
        <v>138</v>
      </c>
      <c r="M115" s="99" t="s">
        <v>138</v>
      </c>
      <c r="N115" s="142">
        <v>98162</v>
      </c>
      <c r="O115" s="142">
        <v>40799</v>
      </c>
      <c r="P115" s="142">
        <v>507581</v>
      </c>
      <c r="Q115" s="56" t="s">
        <v>87</v>
      </c>
    </row>
    <row r="116" spans="1:17" ht="15.75" customHeight="1" hidden="1">
      <c r="A116" s="56" t="s">
        <v>35</v>
      </c>
      <c r="B116" s="103">
        <f t="shared" si="18"/>
        <v>144501</v>
      </c>
      <c r="C116" s="103">
        <v>58904</v>
      </c>
      <c r="D116" s="103">
        <v>48034</v>
      </c>
      <c r="E116" s="103">
        <v>9548</v>
      </c>
      <c r="F116" s="103">
        <v>28015</v>
      </c>
      <c r="G116" s="103">
        <v>203786</v>
      </c>
      <c r="H116" s="142">
        <v>97348</v>
      </c>
      <c r="I116" s="142">
        <v>6878</v>
      </c>
      <c r="J116" s="142">
        <v>98832</v>
      </c>
      <c r="K116" s="142">
        <v>22745</v>
      </c>
      <c r="L116" s="191" t="s">
        <v>138</v>
      </c>
      <c r="M116" s="99" t="s">
        <v>138</v>
      </c>
      <c r="N116" s="142">
        <v>101385</v>
      </c>
      <c r="O116" s="142">
        <v>39736</v>
      </c>
      <c r="P116" s="142">
        <v>512153</v>
      </c>
      <c r="Q116" s="56" t="s">
        <v>35</v>
      </c>
    </row>
    <row r="117" spans="1:17" ht="15.75" customHeight="1" hidden="1">
      <c r="A117" s="6" t="s">
        <v>36</v>
      </c>
      <c r="B117" s="103">
        <v>151390</v>
      </c>
      <c r="C117" s="103">
        <v>63500</v>
      </c>
      <c r="D117" s="103">
        <v>49239</v>
      </c>
      <c r="E117" s="103">
        <v>10016</v>
      </c>
      <c r="F117" s="103">
        <v>28634</v>
      </c>
      <c r="G117" s="103">
        <v>213758</v>
      </c>
      <c r="H117" s="142">
        <v>105717</v>
      </c>
      <c r="I117" s="142">
        <v>4950</v>
      </c>
      <c r="J117" s="142">
        <v>102797</v>
      </c>
      <c r="K117" s="142">
        <v>18527</v>
      </c>
      <c r="L117" s="191" t="s">
        <v>138</v>
      </c>
      <c r="M117" s="99" t="s">
        <v>138</v>
      </c>
      <c r="N117" s="142">
        <v>105030</v>
      </c>
      <c r="O117" s="142">
        <v>51440</v>
      </c>
      <c r="P117" s="142">
        <v>540145</v>
      </c>
      <c r="Q117" s="56" t="s">
        <v>36</v>
      </c>
    </row>
    <row r="118" spans="1:17" ht="15.75" customHeight="1" hidden="1">
      <c r="A118" s="56" t="s">
        <v>88</v>
      </c>
      <c r="B118" s="103">
        <v>127416</v>
      </c>
      <c r="C118" s="103">
        <v>50886</v>
      </c>
      <c r="D118" s="103">
        <v>44196</v>
      </c>
      <c r="E118" s="103">
        <v>9349</v>
      </c>
      <c r="F118" s="103">
        <v>22985</v>
      </c>
      <c r="G118" s="103">
        <v>204148</v>
      </c>
      <c r="H118" s="142">
        <v>93555</v>
      </c>
      <c r="I118" s="142">
        <v>5979</v>
      </c>
      <c r="J118" s="142">
        <v>104209</v>
      </c>
      <c r="K118" s="142">
        <v>19547</v>
      </c>
      <c r="L118" s="191" t="s">
        <v>138</v>
      </c>
      <c r="M118" s="99" t="s">
        <v>138</v>
      </c>
      <c r="N118" s="142">
        <v>112428</v>
      </c>
      <c r="O118" s="142">
        <v>36917</v>
      </c>
      <c r="P118" s="142">
        <v>500455</v>
      </c>
      <c r="Q118" s="56" t="s">
        <v>88</v>
      </c>
    </row>
    <row r="119" spans="1:18" ht="15.75" customHeight="1" hidden="1">
      <c r="A119" s="6"/>
      <c r="B119" s="103"/>
      <c r="C119" s="103"/>
      <c r="D119" s="103"/>
      <c r="E119" s="103"/>
      <c r="F119" s="103"/>
      <c r="G119" s="103"/>
      <c r="H119" s="142"/>
      <c r="I119" s="142"/>
      <c r="J119" s="142"/>
      <c r="K119" s="142"/>
      <c r="L119" s="142"/>
      <c r="M119" s="103"/>
      <c r="N119" s="142"/>
      <c r="O119" s="142"/>
      <c r="P119" s="142"/>
      <c r="Q119" s="56"/>
      <c r="R119" s="112"/>
    </row>
    <row r="120" spans="1:18" ht="15.75" customHeight="1" hidden="1">
      <c r="A120" s="6">
        <v>2005</v>
      </c>
      <c r="C120" s="112"/>
      <c r="D120" s="112"/>
      <c r="E120" s="112"/>
      <c r="F120" s="112"/>
      <c r="G120" s="112"/>
      <c r="H120" s="301"/>
      <c r="I120" s="301"/>
      <c r="J120" s="301"/>
      <c r="K120" s="301"/>
      <c r="L120" s="301"/>
      <c r="M120" s="112"/>
      <c r="N120" s="301"/>
      <c r="O120" s="301"/>
      <c r="P120" s="301"/>
      <c r="Q120" s="6">
        <v>2005</v>
      </c>
      <c r="R120" s="112"/>
    </row>
    <row r="121" spans="1:17" ht="15.75" customHeight="1" hidden="1">
      <c r="A121" s="56" t="s">
        <v>25</v>
      </c>
      <c r="B121" s="103">
        <v>122529</v>
      </c>
      <c r="C121" s="103">
        <v>47801</v>
      </c>
      <c r="D121" s="103">
        <v>47280</v>
      </c>
      <c r="E121" s="103">
        <v>8986</v>
      </c>
      <c r="F121" s="103">
        <v>18462</v>
      </c>
      <c r="G121" s="103">
        <v>223829</v>
      </c>
      <c r="H121" s="142">
        <v>114141</v>
      </c>
      <c r="I121" s="142">
        <v>5307</v>
      </c>
      <c r="J121" s="142">
        <v>103716</v>
      </c>
      <c r="K121" s="142">
        <v>21048</v>
      </c>
      <c r="L121" s="142" t="s">
        <v>138</v>
      </c>
      <c r="M121" s="103" t="s">
        <v>138</v>
      </c>
      <c r="N121" s="142">
        <v>121627</v>
      </c>
      <c r="O121" s="142">
        <v>34577</v>
      </c>
      <c r="P121" s="142">
        <v>523610</v>
      </c>
      <c r="Q121" s="56" t="s">
        <v>25</v>
      </c>
    </row>
    <row r="122" spans="1:17" ht="15.75" customHeight="1" hidden="1">
      <c r="A122" s="56" t="s">
        <v>26</v>
      </c>
      <c r="B122" s="103">
        <v>121424</v>
      </c>
      <c r="C122" s="103">
        <v>45132</v>
      </c>
      <c r="D122" s="103">
        <v>46684</v>
      </c>
      <c r="E122" s="103">
        <v>8989</v>
      </c>
      <c r="F122" s="103">
        <v>20618</v>
      </c>
      <c r="G122" s="103">
        <v>227186</v>
      </c>
      <c r="H122" s="142">
        <v>116603</v>
      </c>
      <c r="I122" s="142">
        <v>5242</v>
      </c>
      <c r="J122" s="142">
        <v>104319</v>
      </c>
      <c r="K122" s="142">
        <v>21560</v>
      </c>
      <c r="L122" s="142" t="s">
        <v>138</v>
      </c>
      <c r="M122" s="103" t="s">
        <v>138</v>
      </c>
      <c r="N122" s="142">
        <v>124450</v>
      </c>
      <c r="O122" s="142">
        <v>35367</v>
      </c>
      <c r="P122" s="142">
        <v>529986</v>
      </c>
      <c r="Q122" s="56" t="s">
        <v>26</v>
      </c>
    </row>
    <row r="123" spans="1:17" ht="15.75" customHeight="1" hidden="1">
      <c r="A123" s="43" t="s">
        <v>114</v>
      </c>
      <c r="B123" s="103">
        <v>134330</v>
      </c>
      <c r="C123" s="103">
        <v>51617</v>
      </c>
      <c r="D123" s="103">
        <v>48539</v>
      </c>
      <c r="E123" s="103">
        <v>8573</v>
      </c>
      <c r="F123" s="103">
        <v>25601</v>
      </c>
      <c r="G123" s="103">
        <v>243382</v>
      </c>
      <c r="H123" s="142">
        <v>127906</v>
      </c>
      <c r="I123" s="142">
        <v>4667</v>
      </c>
      <c r="J123" s="142">
        <v>109591</v>
      </c>
      <c r="K123" s="142">
        <v>20707</v>
      </c>
      <c r="L123" s="142" t="s">
        <v>138</v>
      </c>
      <c r="M123" s="103" t="s">
        <v>138</v>
      </c>
      <c r="N123" s="142">
        <v>127749</v>
      </c>
      <c r="O123" s="142">
        <v>31998</v>
      </c>
      <c r="P123" s="142">
        <v>558169</v>
      </c>
      <c r="Q123" s="43" t="s">
        <v>114</v>
      </c>
    </row>
    <row r="124" spans="1:17" ht="15.75" customHeight="1" hidden="1">
      <c r="A124" s="56" t="s">
        <v>28</v>
      </c>
      <c r="B124" s="99">
        <v>134180</v>
      </c>
      <c r="C124" s="99">
        <v>51539</v>
      </c>
      <c r="D124" s="99">
        <v>47239</v>
      </c>
      <c r="E124" s="99">
        <v>8674</v>
      </c>
      <c r="F124" s="99">
        <v>26728</v>
      </c>
      <c r="G124" s="99">
        <v>244086</v>
      </c>
      <c r="H124" s="191">
        <v>128004</v>
      </c>
      <c r="I124" s="191">
        <v>4596</v>
      </c>
      <c r="J124" s="191">
        <v>110721</v>
      </c>
      <c r="K124" s="191">
        <v>21629</v>
      </c>
      <c r="L124" s="191">
        <v>199</v>
      </c>
      <c r="M124" s="103" t="s">
        <v>138</v>
      </c>
      <c r="N124" s="191">
        <v>114751</v>
      </c>
      <c r="O124" s="191">
        <v>46961</v>
      </c>
      <c r="P124" s="191">
        <v>561847</v>
      </c>
      <c r="Q124" s="56" t="s">
        <v>28</v>
      </c>
    </row>
    <row r="125" spans="1:17" ht="21" customHeight="1" hidden="1">
      <c r="A125" s="56" t="s">
        <v>29</v>
      </c>
      <c r="B125" s="99">
        <v>135370</v>
      </c>
      <c r="C125" s="99">
        <v>54363</v>
      </c>
      <c r="D125" s="99">
        <v>48527</v>
      </c>
      <c r="E125" s="99">
        <v>7083</v>
      </c>
      <c r="F125" s="99">
        <v>25397</v>
      </c>
      <c r="G125" s="99">
        <v>233334</v>
      </c>
      <c r="H125" s="191">
        <v>113691</v>
      </c>
      <c r="I125" s="191">
        <v>5572</v>
      </c>
      <c r="J125" s="191">
        <v>113495</v>
      </c>
      <c r="K125" s="191">
        <v>20733</v>
      </c>
      <c r="L125" s="191">
        <v>199</v>
      </c>
      <c r="M125" s="103" t="s">
        <v>138</v>
      </c>
      <c r="N125" s="191">
        <v>115657</v>
      </c>
      <c r="O125" s="191">
        <v>49070</v>
      </c>
      <c r="P125" s="191">
        <v>554410</v>
      </c>
      <c r="Q125" s="56" t="s">
        <v>29</v>
      </c>
    </row>
    <row r="126" spans="1:17" ht="15.75" customHeight="1" hidden="1">
      <c r="A126" s="56" t="s">
        <v>86</v>
      </c>
      <c r="B126" s="99">
        <v>133874</v>
      </c>
      <c r="C126" s="99">
        <v>54811</v>
      </c>
      <c r="D126" s="99">
        <v>47615</v>
      </c>
      <c r="E126" s="99">
        <v>5580</v>
      </c>
      <c r="F126" s="99">
        <v>25868</v>
      </c>
      <c r="G126" s="99">
        <v>265639</v>
      </c>
      <c r="H126" s="191">
        <v>139233</v>
      </c>
      <c r="I126" s="191">
        <v>5506</v>
      </c>
      <c r="J126" s="191">
        <v>119994</v>
      </c>
      <c r="K126" s="191">
        <v>20361</v>
      </c>
      <c r="L126" s="142" t="s">
        <v>138</v>
      </c>
      <c r="M126" s="103" t="s">
        <v>138</v>
      </c>
      <c r="N126" s="191">
        <v>108504</v>
      </c>
      <c r="O126" s="191">
        <v>48295</v>
      </c>
      <c r="P126" s="191">
        <v>576703</v>
      </c>
      <c r="Q126" s="56" t="s">
        <v>86</v>
      </c>
    </row>
    <row r="127" spans="1:17" ht="15.75" customHeight="1" hidden="1">
      <c r="A127" s="56" t="s">
        <v>31</v>
      </c>
      <c r="B127" s="99">
        <f aca="true" t="shared" si="19" ref="B127:B138">C127+D127+E127+F127</f>
        <v>126546</v>
      </c>
      <c r="C127" s="99">
        <v>51586</v>
      </c>
      <c r="D127" s="99">
        <v>45300</v>
      </c>
      <c r="E127" s="99">
        <v>5861</v>
      </c>
      <c r="F127" s="99">
        <v>23799</v>
      </c>
      <c r="G127" s="99">
        <v>258989</v>
      </c>
      <c r="H127" s="191">
        <v>128894</v>
      </c>
      <c r="I127" s="191">
        <v>5335</v>
      </c>
      <c r="J127" s="191">
        <v>124061</v>
      </c>
      <c r="K127" s="191">
        <v>23351</v>
      </c>
      <c r="L127" s="191" t="s">
        <v>85</v>
      </c>
      <c r="M127" s="99" t="s">
        <v>85</v>
      </c>
      <c r="N127" s="191">
        <v>112040</v>
      </c>
      <c r="O127" s="191">
        <v>51407</v>
      </c>
      <c r="P127" s="191">
        <v>572386</v>
      </c>
      <c r="Q127" s="56" t="s">
        <v>31</v>
      </c>
    </row>
    <row r="128" spans="1:17" ht="15.75" customHeight="1" hidden="1">
      <c r="A128" s="56" t="s">
        <v>32</v>
      </c>
      <c r="B128" s="99">
        <f t="shared" si="19"/>
        <v>150111</v>
      </c>
      <c r="C128" s="99">
        <v>65824</v>
      </c>
      <c r="D128" s="99">
        <v>51744</v>
      </c>
      <c r="E128" s="99">
        <v>6786</v>
      </c>
      <c r="F128" s="99">
        <v>25757</v>
      </c>
      <c r="G128" s="99">
        <v>267508</v>
      </c>
      <c r="H128" s="191">
        <v>132599</v>
      </c>
      <c r="I128" s="191">
        <v>6471</v>
      </c>
      <c r="J128" s="191">
        <v>128043</v>
      </c>
      <c r="K128" s="191">
        <v>26922</v>
      </c>
      <c r="L128" s="191" t="s">
        <v>85</v>
      </c>
      <c r="M128" s="99" t="s">
        <v>85</v>
      </c>
      <c r="N128" s="191">
        <v>128681</v>
      </c>
      <c r="O128" s="191">
        <v>52518</v>
      </c>
      <c r="P128" s="191">
        <v>625770</v>
      </c>
      <c r="Q128" s="56" t="s">
        <v>32</v>
      </c>
    </row>
    <row r="129" spans="1:17" ht="15.75" customHeight="1" hidden="1">
      <c r="A129" s="6" t="s">
        <v>87</v>
      </c>
      <c r="B129" s="99">
        <f t="shared" si="19"/>
        <v>151614</v>
      </c>
      <c r="C129" s="99">
        <v>62122</v>
      </c>
      <c r="D129" s="99">
        <v>53550</v>
      </c>
      <c r="E129" s="99">
        <v>6945</v>
      </c>
      <c r="F129" s="99">
        <v>28997</v>
      </c>
      <c r="G129" s="99">
        <v>263651</v>
      </c>
      <c r="H129" s="191">
        <v>123732</v>
      </c>
      <c r="I129" s="191">
        <v>6877</v>
      </c>
      <c r="J129" s="191">
        <v>132527</v>
      </c>
      <c r="K129" s="191">
        <v>25690</v>
      </c>
      <c r="L129" s="191" t="s">
        <v>138</v>
      </c>
      <c r="M129" s="99" t="s">
        <v>138</v>
      </c>
      <c r="N129" s="191">
        <v>131939</v>
      </c>
      <c r="O129" s="191">
        <v>53472</v>
      </c>
      <c r="P129" s="191">
        <v>626399</v>
      </c>
      <c r="Q129" s="56" t="s">
        <v>87</v>
      </c>
    </row>
    <row r="130" spans="1:17" ht="15" customHeight="1" hidden="1">
      <c r="A130" s="56" t="s">
        <v>35</v>
      </c>
      <c r="B130" s="99">
        <f t="shared" si="19"/>
        <v>145164</v>
      </c>
      <c r="C130" s="103">
        <v>53406</v>
      </c>
      <c r="D130" s="103">
        <v>56306</v>
      </c>
      <c r="E130" s="103">
        <v>5986</v>
      </c>
      <c r="F130" s="105">
        <v>29466</v>
      </c>
      <c r="G130" s="103">
        <v>273871</v>
      </c>
      <c r="H130" s="191">
        <v>135711</v>
      </c>
      <c r="I130" s="191">
        <v>5365</v>
      </c>
      <c r="J130" s="191">
        <v>132414</v>
      </c>
      <c r="K130" s="191">
        <v>35685</v>
      </c>
      <c r="L130" s="191" t="s">
        <v>85</v>
      </c>
      <c r="M130" s="99" t="s">
        <v>138</v>
      </c>
      <c r="N130" s="191">
        <v>135644</v>
      </c>
      <c r="O130" s="191">
        <v>55000</v>
      </c>
      <c r="P130" s="191">
        <v>645481</v>
      </c>
      <c r="Q130" s="56" t="s">
        <v>35</v>
      </c>
    </row>
    <row r="131" spans="1:17" ht="14.25" customHeight="1" hidden="1">
      <c r="A131" s="56" t="s">
        <v>36</v>
      </c>
      <c r="B131" s="99">
        <f t="shared" si="19"/>
        <v>163147</v>
      </c>
      <c r="C131" s="99">
        <v>59743</v>
      </c>
      <c r="D131" s="99">
        <v>58999</v>
      </c>
      <c r="E131" s="99">
        <v>8558</v>
      </c>
      <c r="F131" s="124">
        <v>35847</v>
      </c>
      <c r="G131" s="99">
        <v>273414</v>
      </c>
      <c r="H131" s="191">
        <v>130892</v>
      </c>
      <c r="I131" s="191">
        <v>8649</v>
      </c>
      <c r="J131" s="191">
        <v>133239</v>
      </c>
      <c r="K131" s="191">
        <v>30199</v>
      </c>
      <c r="L131" s="191" t="s">
        <v>85</v>
      </c>
      <c r="M131" s="99" t="s">
        <v>138</v>
      </c>
      <c r="N131" s="191">
        <v>138602</v>
      </c>
      <c r="O131" s="191">
        <v>53222</v>
      </c>
      <c r="P131" s="191">
        <v>658664</v>
      </c>
      <c r="Q131" s="56" t="s">
        <v>36</v>
      </c>
    </row>
    <row r="132" spans="1:17" ht="15" customHeight="1" hidden="1">
      <c r="A132" s="56" t="s">
        <v>88</v>
      </c>
      <c r="B132" s="99">
        <f t="shared" si="19"/>
        <v>176649</v>
      </c>
      <c r="C132" s="99">
        <v>73746</v>
      </c>
      <c r="D132" s="99">
        <v>65931</v>
      </c>
      <c r="E132" s="99">
        <v>6137</v>
      </c>
      <c r="F132" s="124">
        <v>30835</v>
      </c>
      <c r="G132" s="99">
        <v>295700</v>
      </c>
      <c r="H132" s="191">
        <v>144923</v>
      </c>
      <c r="I132" s="191">
        <v>9409</v>
      </c>
      <c r="J132" s="191">
        <v>140395</v>
      </c>
      <c r="K132" s="191">
        <v>34485</v>
      </c>
      <c r="L132" s="191" t="s">
        <v>138</v>
      </c>
      <c r="M132" s="99" t="s">
        <v>138</v>
      </c>
      <c r="N132" s="191">
        <v>139668</v>
      </c>
      <c r="O132" s="191">
        <v>52658</v>
      </c>
      <c r="P132" s="191">
        <v>699186</v>
      </c>
      <c r="Q132" s="56" t="s">
        <v>88</v>
      </c>
    </row>
    <row r="133" ht="15.75" customHeight="1" hidden="1">
      <c r="B133" s="99"/>
    </row>
    <row r="134" spans="1:17" ht="15.75" customHeight="1" hidden="1">
      <c r="A134" s="6">
        <v>2006</v>
      </c>
      <c r="B134" s="99"/>
      <c r="Q134" s="6">
        <v>2006</v>
      </c>
    </row>
    <row r="135" spans="1:17" ht="15.75" customHeight="1" hidden="1">
      <c r="A135" s="56" t="s">
        <v>25</v>
      </c>
      <c r="B135" s="99">
        <f t="shared" si="19"/>
        <v>181706</v>
      </c>
      <c r="C135" s="99">
        <v>81330</v>
      </c>
      <c r="D135" s="99">
        <v>60184</v>
      </c>
      <c r="E135" s="99">
        <v>6688</v>
      </c>
      <c r="F135" s="124">
        <v>33504</v>
      </c>
      <c r="G135" s="99">
        <v>288561</v>
      </c>
      <c r="H135" s="191">
        <v>136402</v>
      </c>
      <c r="I135" s="191">
        <v>9409</v>
      </c>
      <c r="J135" s="191">
        <v>142080</v>
      </c>
      <c r="K135" s="191">
        <v>36511</v>
      </c>
      <c r="L135" s="191" t="s">
        <v>138</v>
      </c>
      <c r="M135" s="99" t="s">
        <v>138</v>
      </c>
      <c r="N135" s="191">
        <v>153659</v>
      </c>
      <c r="O135" s="191">
        <v>45375</v>
      </c>
      <c r="P135" s="191">
        <v>705848</v>
      </c>
      <c r="Q135" s="56" t="s">
        <v>25</v>
      </c>
    </row>
    <row r="136" spans="1:17" ht="15.75" customHeight="1" hidden="1">
      <c r="A136" s="56" t="s">
        <v>26</v>
      </c>
      <c r="B136" s="99">
        <f t="shared" si="19"/>
        <v>173802</v>
      </c>
      <c r="C136" s="99">
        <v>77273</v>
      </c>
      <c r="D136" s="99">
        <v>57606</v>
      </c>
      <c r="E136" s="99">
        <v>7503</v>
      </c>
      <c r="F136" s="124">
        <v>31420</v>
      </c>
      <c r="G136" s="99">
        <v>288481</v>
      </c>
      <c r="H136" s="191">
        <v>132796</v>
      </c>
      <c r="I136" s="154">
        <v>9279</v>
      </c>
      <c r="J136" s="191">
        <v>143929</v>
      </c>
      <c r="K136" s="191">
        <v>36945</v>
      </c>
      <c r="L136" s="191" t="s">
        <v>138</v>
      </c>
      <c r="M136" s="99" t="s">
        <v>138</v>
      </c>
      <c r="N136" s="191">
        <v>156509</v>
      </c>
      <c r="O136" s="191">
        <v>52067</v>
      </c>
      <c r="P136" s="191">
        <v>707853</v>
      </c>
      <c r="Q136" s="56" t="s">
        <v>26</v>
      </c>
    </row>
    <row r="137" spans="1:17" ht="15.75" customHeight="1" hidden="1">
      <c r="A137" s="43" t="s">
        <v>114</v>
      </c>
      <c r="B137" s="99">
        <f t="shared" si="19"/>
        <v>184395</v>
      </c>
      <c r="C137" s="99">
        <v>75803</v>
      </c>
      <c r="D137" s="99">
        <v>56599</v>
      </c>
      <c r="E137" s="99">
        <v>8533</v>
      </c>
      <c r="F137" s="124">
        <v>43460</v>
      </c>
      <c r="G137" s="99">
        <v>281085</v>
      </c>
      <c r="H137" s="191">
        <v>127088</v>
      </c>
      <c r="I137" s="191">
        <v>10273</v>
      </c>
      <c r="J137" s="191">
        <v>143141</v>
      </c>
      <c r="K137" s="191">
        <v>22359</v>
      </c>
      <c r="L137" s="191" t="s">
        <v>138</v>
      </c>
      <c r="M137" s="99" t="s">
        <v>138</v>
      </c>
      <c r="N137" s="191">
        <v>150863</v>
      </c>
      <c r="O137" s="191">
        <v>55155</v>
      </c>
      <c r="P137" s="191">
        <v>693913</v>
      </c>
      <c r="Q137" s="56" t="s">
        <v>27</v>
      </c>
    </row>
    <row r="138" spans="1:17" ht="15.75" customHeight="1" hidden="1">
      <c r="A138" s="56" t="s">
        <v>28</v>
      </c>
      <c r="B138" s="99">
        <f t="shared" si="19"/>
        <v>184921</v>
      </c>
      <c r="C138" s="99">
        <v>78277</v>
      </c>
      <c r="D138" s="99">
        <v>57100</v>
      </c>
      <c r="E138" s="99">
        <v>9082</v>
      </c>
      <c r="F138" s="124">
        <v>40462</v>
      </c>
      <c r="G138" s="99">
        <v>314648</v>
      </c>
      <c r="H138" s="191">
        <v>157148</v>
      </c>
      <c r="I138" s="191">
        <v>10037</v>
      </c>
      <c r="J138" s="191">
        <v>147063</v>
      </c>
      <c r="K138" s="191">
        <v>22774</v>
      </c>
      <c r="L138" s="191" t="s">
        <v>138</v>
      </c>
      <c r="M138" s="99" t="s">
        <v>138</v>
      </c>
      <c r="N138" s="191">
        <v>145068</v>
      </c>
      <c r="O138" s="191">
        <v>67193</v>
      </c>
      <c r="P138" s="191">
        <v>734700</v>
      </c>
      <c r="Q138" s="56" t="s">
        <v>28</v>
      </c>
    </row>
    <row r="139" spans="1:17" ht="15.75" customHeight="1" hidden="1">
      <c r="A139" s="56" t="s">
        <v>29</v>
      </c>
      <c r="B139" s="99">
        <v>181935</v>
      </c>
      <c r="C139" s="99">
        <v>76996</v>
      </c>
      <c r="D139" s="99">
        <v>57907</v>
      </c>
      <c r="E139" s="99">
        <v>9539</v>
      </c>
      <c r="F139" s="124">
        <v>37494</v>
      </c>
      <c r="G139" s="99">
        <v>315574</v>
      </c>
      <c r="H139" s="191">
        <v>155455</v>
      </c>
      <c r="I139" s="191">
        <v>9085</v>
      </c>
      <c r="J139" s="191">
        <v>150002</v>
      </c>
      <c r="K139" s="191">
        <v>20703</v>
      </c>
      <c r="L139" s="191" t="s">
        <v>138</v>
      </c>
      <c r="M139" s="99" t="s">
        <v>138</v>
      </c>
      <c r="N139" s="191">
        <v>137838</v>
      </c>
      <c r="O139" s="191">
        <v>81861</v>
      </c>
      <c r="P139" s="191">
        <v>737986</v>
      </c>
      <c r="Q139" s="56" t="s">
        <v>29</v>
      </c>
    </row>
    <row r="140" spans="1:17" ht="15.75" customHeight="1" hidden="1">
      <c r="A140" s="56" t="s">
        <v>86</v>
      </c>
      <c r="B140" s="99">
        <v>175618</v>
      </c>
      <c r="C140" s="99">
        <v>73569</v>
      </c>
      <c r="D140" s="99">
        <v>57534</v>
      </c>
      <c r="E140" s="99">
        <v>9206</v>
      </c>
      <c r="F140" s="124">
        <v>35309</v>
      </c>
      <c r="G140" s="99">
        <v>328495</v>
      </c>
      <c r="H140" s="191">
        <v>160890</v>
      </c>
      <c r="I140" s="191">
        <v>10212</v>
      </c>
      <c r="J140" s="191">
        <v>156848</v>
      </c>
      <c r="K140" s="191">
        <v>18721</v>
      </c>
      <c r="L140" s="191">
        <v>37</v>
      </c>
      <c r="M140" s="99" t="s">
        <v>138</v>
      </c>
      <c r="N140" s="191">
        <v>141097</v>
      </c>
      <c r="O140" s="191">
        <v>68273</v>
      </c>
      <c r="P140" s="191">
        <v>732241</v>
      </c>
      <c r="Q140" s="56" t="s">
        <v>30</v>
      </c>
    </row>
    <row r="141" spans="1:17" s="11" customFormat="1" ht="15.75" customHeight="1" hidden="1">
      <c r="A141" s="56" t="s">
        <v>31</v>
      </c>
      <c r="B141" s="99">
        <v>188563</v>
      </c>
      <c r="C141" s="99">
        <v>76377</v>
      </c>
      <c r="D141" s="99">
        <v>58835</v>
      </c>
      <c r="E141" s="99">
        <v>9103</v>
      </c>
      <c r="F141" s="99">
        <v>44249</v>
      </c>
      <c r="G141" s="99">
        <v>342366</v>
      </c>
      <c r="H141" s="191">
        <v>174310</v>
      </c>
      <c r="I141" s="191">
        <v>9113</v>
      </c>
      <c r="J141" s="191">
        <v>158199</v>
      </c>
      <c r="K141" s="191">
        <v>24427</v>
      </c>
      <c r="L141" s="191">
        <v>119</v>
      </c>
      <c r="M141" s="99" t="s">
        <v>138</v>
      </c>
      <c r="N141" s="191">
        <v>143759</v>
      </c>
      <c r="O141" s="191">
        <v>74238</v>
      </c>
      <c r="P141" s="191">
        <v>773473</v>
      </c>
      <c r="Q141" s="56" t="s">
        <v>31</v>
      </c>
    </row>
    <row r="142" spans="1:17" s="11" customFormat="1" ht="15.75" customHeight="1" hidden="1">
      <c r="A142" s="56" t="s">
        <v>32</v>
      </c>
      <c r="B142" s="99">
        <v>187296</v>
      </c>
      <c r="C142" s="99">
        <v>79817</v>
      </c>
      <c r="D142" s="99">
        <v>64355</v>
      </c>
      <c r="E142" s="99">
        <v>9736</v>
      </c>
      <c r="F142" s="99">
        <v>33388</v>
      </c>
      <c r="G142" s="99">
        <v>383001</v>
      </c>
      <c r="H142" s="191">
        <v>204839</v>
      </c>
      <c r="I142" s="191">
        <v>14041</v>
      </c>
      <c r="J142" s="191">
        <v>162782</v>
      </c>
      <c r="K142" s="191">
        <v>29873</v>
      </c>
      <c r="L142" s="191">
        <v>191</v>
      </c>
      <c r="M142" s="99" t="s">
        <v>138</v>
      </c>
      <c r="N142" s="191">
        <v>144829</v>
      </c>
      <c r="O142" s="191">
        <v>80125</v>
      </c>
      <c r="P142" s="191">
        <v>825315</v>
      </c>
      <c r="Q142" s="56" t="s">
        <v>32</v>
      </c>
    </row>
    <row r="143" spans="1:17" s="11" customFormat="1" ht="15.75" customHeight="1" hidden="1">
      <c r="A143" s="6" t="s">
        <v>87</v>
      </c>
      <c r="B143" s="99">
        <v>207828</v>
      </c>
      <c r="C143" s="99">
        <v>93069</v>
      </c>
      <c r="D143" s="99">
        <v>61219</v>
      </c>
      <c r="E143" s="99">
        <v>9385</v>
      </c>
      <c r="F143" s="99">
        <v>44154</v>
      </c>
      <c r="G143" s="99">
        <v>356049</v>
      </c>
      <c r="H143" s="191">
        <v>173985</v>
      </c>
      <c r="I143" s="191">
        <v>18001</v>
      </c>
      <c r="J143" s="191">
        <v>161769</v>
      </c>
      <c r="K143" s="191">
        <v>21714</v>
      </c>
      <c r="L143" s="191">
        <v>6063</v>
      </c>
      <c r="M143" s="99" t="s">
        <v>138</v>
      </c>
      <c r="N143" s="191">
        <v>151085</v>
      </c>
      <c r="O143" s="191">
        <v>76347</v>
      </c>
      <c r="P143" s="191">
        <v>819086</v>
      </c>
      <c r="Q143" s="56" t="s">
        <v>33</v>
      </c>
    </row>
    <row r="144" spans="1:17" s="11" customFormat="1" ht="15.75" customHeight="1" hidden="1">
      <c r="A144" s="56" t="s">
        <v>35</v>
      </c>
      <c r="B144" s="99">
        <v>199051</v>
      </c>
      <c r="C144" s="99">
        <v>85553</v>
      </c>
      <c r="D144" s="99">
        <v>60357</v>
      </c>
      <c r="E144" s="99">
        <v>9028</v>
      </c>
      <c r="F144" s="99">
        <v>44114</v>
      </c>
      <c r="G144" s="99">
        <v>367918</v>
      </c>
      <c r="H144" s="191">
        <v>182324</v>
      </c>
      <c r="I144" s="191">
        <v>17203</v>
      </c>
      <c r="J144" s="191">
        <v>167790</v>
      </c>
      <c r="K144" s="191">
        <v>27764</v>
      </c>
      <c r="L144" s="191">
        <v>127</v>
      </c>
      <c r="M144" s="99" t="s">
        <v>138</v>
      </c>
      <c r="N144" s="191">
        <v>153057</v>
      </c>
      <c r="O144" s="191">
        <v>69706</v>
      </c>
      <c r="P144" s="191">
        <v>817624</v>
      </c>
      <c r="Q144" s="56" t="s">
        <v>35</v>
      </c>
    </row>
    <row r="145" spans="1:17" s="11" customFormat="1" ht="15.75" customHeight="1" hidden="1">
      <c r="A145" s="56" t="s">
        <v>36</v>
      </c>
      <c r="B145" s="99">
        <v>198049</v>
      </c>
      <c r="C145" s="99">
        <v>83179</v>
      </c>
      <c r="D145" s="99">
        <v>60430</v>
      </c>
      <c r="E145" s="99">
        <v>8316</v>
      </c>
      <c r="F145" s="99">
        <v>46124</v>
      </c>
      <c r="G145" s="99">
        <v>369390</v>
      </c>
      <c r="H145" s="191">
        <v>175791</v>
      </c>
      <c r="I145" s="191">
        <v>17449</v>
      </c>
      <c r="J145" s="191">
        <v>174703</v>
      </c>
      <c r="K145" s="191">
        <v>27006</v>
      </c>
      <c r="L145" s="191">
        <v>2180</v>
      </c>
      <c r="M145" s="99" t="s">
        <v>138</v>
      </c>
      <c r="N145" s="191">
        <v>156512</v>
      </c>
      <c r="O145" s="191">
        <v>71641</v>
      </c>
      <c r="P145" s="191">
        <v>824778</v>
      </c>
      <c r="Q145" s="56" t="s">
        <v>36</v>
      </c>
    </row>
    <row r="146" spans="1:17" s="11" customFormat="1" ht="15.75" customHeight="1" hidden="1">
      <c r="A146" s="56" t="s">
        <v>88</v>
      </c>
      <c r="B146" s="99">
        <v>195870</v>
      </c>
      <c r="C146" s="99">
        <v>85488</v>
      </c>
      <c r="D146" s="99">
        <v>59759</v>
      </c>
      <c r="E146" s="99">
        <v>8747</v>
      </c>
      <c r="F146" s="99">
        <v>41876</v>
      </c>
      <c r="G146" s="99">
        <v>386302</v>
      </c>
      <c r="H146" s="191">
        <v>191986</v>
      </c>
      <c r="I146" s="191">
        <v>20002</v>
      </c>
      <c r="J146" s="191">
        <v>173578</v>
      </c>
      <c r="K146" s="191">
        <v>21008</v>
      </c>
      <c r="L146" s="191">
        <v>58</v>
      </c>
      <c r="M146" s="99" t="s">
        <v>138</v>
      </c>
      <c r="N146" s="191">
        <v>158587</v>
      </c>
      <c r="O146" s="191">
        <v>66849</v>
      </c>
      <c r="P146" s="191">
        <v>828754</v>
      </c>
      <c r="Q146" s="56" t="s">
        <v>37</v>
      </c>
    </row>
    <row r="147" ht="15.75" customHeight="1" hidden="1">
      <c r="A147" s="56"/>
    </row>
    <row r="148" spans="1:17" ht="15.75" customHeight="1" hidden="1">
      <c r="A148" s="6">
        <v>2007</v>
      </c>
      <c r="Q148" s="6">
        <v>2007</v>
      </c>
    </row>
    <row r="149" spans="1:17" ht="15.75" customHeight="1" hidden="1">
      <c r="A149" s="56" t="s">
        <v>25</v>
      </c>
      <c r="B149" s="99">
        <v>201563.657463</v>
      </c>
      <c r="C149" s="99">
        <v>91748.435727</v>
      </c>
      <c r="D149" s="99">
        <v>58921.886736</v>
      </c>
      <c r="E149" s="99">
        <v>8851.359</v>
      </c>
      <c r="F149" s="99">
        <v>42041.976</v>
      </c>
      <c r="G149" s="99">
        <v>392107.544728</v>
      </c>
      <c r="H149" s="191">
        <v>194278.47438</v>
      </c>
      <c r="I149" s="191">
        <v>17211.347</v>
      </c>
      <c r="J149" s="191">
        <v>176533.275015</v>
      </c>
      <c r="K149" s="191">
        <v>30786.243</v>
      </c>
      <c r="L149" s="191">
        <v>26.294</v>
      </c>
      <c r="M149" s="99">
        <v>0</v>
      </c>
      <c r="N149" s="191">
        <v>183575.054841</v>
      </c>
      <c r="O149" s="191">
        <v>64041.451349999996</v>
      </c>
      <c r="P149" s="191">
        <v>872100.245382</v>
      </c>
      <c r="Q149" s="56" t="s">
        <v>25</v>
      </c>
    </row>
    <row r="150" spans="1:17" ht="15.75" customHeight="1" hidden="1">
      <c r="A150" s="56" t="s">
        <v>26</v>
      </c>
      <c r="B150" s="99">
        <v>212970.082</v>
      </c>
      <c r="C150" s="99">
        <v>95246.698</v>
      </c>
      <c r="D150" s="99">
        <v>66453.957</v>
      </c>
      <c r="E150" s="99">
        <v>9593.063</v>
      </c>
      <c r="F150" s="99">
        <v>41676.364</v>
      </c>
      <c r="G150" s="99">
        <v>415059.203</v>
      </c>
      <c r="H150" s="191">
        <v>206568.666</v>
      </c>
      <c r="I150" s="191">
        <v>25166.024</v>
      </c>
      <c r="J150" s="191">
        <v>178674.623</v>
      </c>
      <c r="K150" s="191">
        <v>35939.666</v>
      </c>
      <c r="L150" s="191">
        <v>2831.461</v>
      </c>
      <c r="M150" s="99">
        <v>0</v>
      </c>
      <c r="N150" s="191">
        <v>186695.656</v>
      </c>
      <c r="O150" s="191">
        <v>61939.56</v>
      </c>
      <c r="P150" s="191">
        <v>915435.628</v>
      </c>
      <c r="Q150" s="56" t="s">
        <v>26</v>
      </c>
    </row>
    <row r="151" spans="1:17" ht="15.75" customHeight="1" hidden="1">
      <c r="A151" s="56" t="s">
        <v>27</v>
      </c>
      <c r="B151" s="99">
        <v>217987.687</v>
      </c>
      <c r="C151" s="99">
        <v>94114.023</v>
      </c>
      <c r="D151" s="99">
        <v>65967.28</v>
      </c>
      <c r="E151" s="99">
        <v>11833.516</v>
      </c>
      <c r="F151" s="99">
        <v>46072.868</v>
      </c>
      <c r="G151" s="99">
        <v>434612.184</v>
      </c>
      <c r="H151" s="191">
        <v>222182.049</v>
      </c>
      <c r="I151" s="191">
        <v>25840.35</v>
      </c>
      <c r="J151" s="191">
        <v>181978.298</v>
      </c>
      <c r="K151" s="191">
        <v>38313.02</v>
      </c>
      <c r="L151" s="191">
        <v>2690.673</v>
      </c>
      <c r="M151" s="99">
        <v>0</v>
      </c>
      <c r="N151" s="191">
        <v>179276.426</v>
      </c>
      <c r="O151" s="191">
        <v>77630.64</v>
      </c>
      <c r="P151" s="191">
        <v>950510.63</v>
      </c>
      <c r="Q151" s="56" t="s">
        <v>27</v>
      </c>
    </row>
    <row r="152" spans="1:17" ht="15.75" customHeight="1" hidden="1">
      <c r="A152" s="56" t="s">
        <v>28</v>
      </c>
      <c r="B152" s="99">
        <v>229938.70441</v>
      </c>
      <c r="C152" s="99">
        <v>98049.14241</v>
      </c>
      <c r="D152" s="99">
        <v>70975.595</v>
      </c>
      <c r="E152" s="99">
        <v>12456.578</v>
      </c>
      <c r="F152" s="99">
        <v>48457.389</v>
      </c>
      <c r="G152" s="99">
        <v>443643.25659</v>
      </c>
      <c r="H152" s="191">
        <v>236048.157</v>
      </c>
      <c r="I152" s="191">
        <v>23795.705</v>
      </c>
      <c r="J152" s="191">
        <v>181081.266</v>
      </c>
      <c r="K152" s="191">
        <v>39303.793</v>
      </c>
      <c r="L152" s="191">
        <v>42.758</v>
      </c>
      <c r="M152" s="99">
        <v>0</v>
      </c>
      <c r="N152" s="191">
        <v>167786.863</v>
      </c>
      <c r="O152" s="191">
        <v>81194.269</v>
      </c>
      <c r="P152" s="191">
        <v>961909.644</v>
      </c>
      <c r="Q152" s="56" t="s">
        <v>28</v>
      </c>
    </row>
    <row r="153" spans="1:17" ht="15.75" customHeight="1" hidden="1">
      <c r="A153" s="56" t="s">
        <v>29</v>
      </c>
      <c r="B153" s="99">
        <v>211424.32</v>
      </c>
      <c r="C153" s="99">
        <v>84417.355</v>
      </c>
      <c r="D153" s="99">
        <v>71465.877</v>
      </c>
      <c r="E153" s="99">
        <v>12857.385</v>
      </c>
      <c r="F153" s="99">
        <v>42683.703</v>
      </c>
      <c r="G153" s="99">
        <v>440318.244</v>
      </c>
      <c r="H153" s="191">
        <v>228692.688</v>
      </c>
      <c r="I153" s="191">
        <v>24994.698</v>
      </c>
      <c r="J153" s="191">
        <v>183809.861</v>
      </c>
      <c r="K153" s="191">
        <v>43704.415</v>
      </c>
      <c r="L153" s="191">
        <v>5957.16</v>
      </c>
      <c r="M153" s="99">
        <v>0</v>
      </c>
      <c r="N153" s="191">
        <v>173820.464</v>
      </c>
      <c r="O153" s="191">
        <v>74830.735</v>
      </c>
      <c r="P153" s="191">
        <v>950055.338</v>
      </c>
      <c r="Q153" s="56" t="s">
        <v>29</v>
      </c>
    </row>
    <row r="154" spans="1:17" ht="15.75" customHeight="1" hidden="1">
      <c r="A154" s="56" t="s">
        <v>30</v>
      </c>
      <c r="B154" s="99">
        <v>217641.68</v>
      </c>
      <c r="C154" s="99">
        <v>90647.85</v>
      </c>
      <c r="D154" s="99">
        <v>71274.56</v>
      </c>
      <c r="E154" s="99">
        <v>16210.394</v>
      </c>
      <c r="F154" s="99">
        <v>39508.876</v>
      </c>
      <c r="G154" s="99">
        <v>443078.898</v>
      </c>
      <c r="H154" s="191">
        <v>226390.182</v>
      </c>
      <c r="I154" s="191">
        <v>21955.652</v>
      </c>
      <c r="J154" s="191">
        <v>188668.629</v>
      </c>
      <c r="K154" s="191">
        <v>39383.968</v>
      </c>
      <c r="L154" s="191">
        <v>3151.624</v>
      </c>
      <c r="M154" s="99">
        <v>0</v>
      </c>
      <c r="N154" s="191">
        <v>177748.913</v>
      </c>
      <c r="O154" s="191">
        <v>74210.046</v>
      </c>
      <c r="P154" s="191">
        <v>955215.129</v>
      </c>
      <c r="Q154" s="56" t="s">
        <v>30</v>
      </c>
    </row>
    <row r="155" spans="1:17" ht="15.75" customHeight="1" hidden="1">
      <c r="A155" s="56" t="s">
        <v>31</v>
      </c>
      <c r="B155" s="99">
        <v>218840.784</v>
      </c>
      <c r="C155" s="99">
        <v>94978.819</v>
      </c>
      <c r="D155" s="99">
        <v>73328.778</v>
      </c>
      <c r="E155" s="99">
        <v>13245.927</v>
      </c>
      <c r="F155" s="99">
        <v>37287.26</v>
      </c>
      <c r="G155" s="99">
        <v>460051.186</v>
      </c>
      <c r="H155" s="191">
        <v>232449.502</v>
      </c>
      <c r="I155" s="191">
        <v>26771.663</v>
      </c>
      <c r="J155" s="191">
        <v>197603.204</v>
      </c>
      <c r="K155" s="191">
        <v>40739.941</v>
      </c>
      <c r="L155" s="191">
        <v>641.696</v>
      </c>
      <c r="M155" s="99">
        <v>0</v>
      </c>
      <c r="N155" s="191">
        <v>179611.643</v>
      </c>
      <c r="O155" s="191">
        <v>81999.852</v>
      </c>
      <c r="P155" s="191">
        <v>981885.102</v>
      </c>
      <c r="Q155" s="56" t="s">
        <v>31</v>
      </c>
    </row>
    <row r="156" spans="1:17" ht="15.75" customHeight="1" hidden="1">
      <c r="A156" s="56" t="s">
        <v>32</v>
      </c>
      <c r="B156" s="99">
        <v>212121.363</v>
      </c>
      <c r="C156" s="99">
        <v>94499.876</v>
      </c>
      <c r="D156" s="99">
        <v>72348.832</v>
      </c>
      <c r="E156" s="99">
        <v>13169.58</v>
      </c>
      <c r="F156" s="99">
        <v>32103.075</v>
      </c>
      <c r="G156" s="99">
        <v>457761.404</v>
      </c>
      <c r="H156" s="191">
        <v>238547.934</v>
      </c>
      <c r="I156" s="191">
        <v>14469.427</v>
      </c>
      <c r="J156" s="191">
        <v>202716.489</v>
      </c>
      <c r="K156" s="191">
        <v>51937.398</v>
      </c>
      <c r="L156" s="191">
        <v>1068.232</v>
      </c>
      <c r="M156" s="99">
        <v>0</v>
      </c>
      <c r="N156" s="191">
        <v>179180.426</v>
      </c>
      <c r="O156" s="191">
        <v>73837.426</v>
      </c>
      <c r="P156" s="191">
        <v>975906.249</v>
      </c>
      <c r="Q156" s="56" t="s">
        <v>32</v>
      </c>
    </row>
    <row r="157" spans="1:17" ht="15.75" customHeight="1" hidden="1">
      <c r="A157" s="56" t="s">
        <v>33</v>
      </c>
      <c r="B157" s="99">
        <v>219563.36216832</v>
      </c>
      <c r="C157" s="99">
        <v>94890.95789226</v>
      </c>
      <c r="D157" s="99">
        <v>67502.28749855</v>
      </c>
      <c r="E157" s="99">
        <v>11620.88277751</v>
      </c>
      <c r="F157" s="99">
        <v>45549.234</v>
      </c>
      <c r="G157" s="99">
        <v>459356.06552014</v>
      </c>
      <c r="H157" s="191">
        <v>233220.8618026</v>
      </c>
      <c r="I157" s="191">
        <v>16052.12834871</v>
      </c>
      <c r="J157" s="191">
        <v>206926.23836883</v>
      </c>
      <c r="K157" s="191">
        <v>49325.114237780006</v>
      </c>
      <c r="L157" s="191">
        <v>2549.585</v>
      </c>
      <c r="M157" s="99">
        <v>0</v>
      </c>
      <c r="N157" s="191">
        <v>187777.142239653</v>
      </c>
      <c r="O157" s="191">
        <v>80176.33919657442</v>
      </c>
      <c r="P157" s="191">
        <v>998747.6083624675</v>
      </c>
      <c r="Q157" s="56" t="s">
        <v>33</v>
      </c>
    </row>
    <row r="158" spans="1:17" ht="15.75" customHeight="1" hidden="1">
      <c r="A158" s="56" t="s">
        <v>35</v>
      </c>
      <c r="B158" s="99">
        <v>200615.25987774</v>
      </c>
      <c r="C158" s="99">
        <v>88165.75197773</v>
      </c>
      <c r="D158" s="99">
        <v>62947.17397309</v>
      </c>
      <c r="E158" s="99">
        <v>10647.31516761</v>
      </c>
      <c r="F158" s="99">
        <v>38855.01875931</v>
      </c>
      <c r="G158" s="99">
        <v>475331.59245825006</v>
      </c>
      <c r="H158" s="191">
        <v>245195.0937532</v>
      </c>
      <c r="I158" s="191">
        <v>18533.34088126</v>
      </c>
      <c r="J158" s="191">
        <v>209551.16819536</v>
      </c>
      <c r="K158" s="191">
        <v>38795.23690488</v>
      </c>
      <c r="L158" s="191">
        <v>14628.456</v>
      </c>
      <c r="M158" s="99">
        <v>0</v>
      </c>
      <c r="N158" s="191">
        <v>187475.4670603</v>
      </c>
      <c r="O158" s="191">
        <v>81734.51250592248</v>
      </c>
      <c r="P158" s="191">
        <v>1001540.5248070925</v>
      </c>
      <c r="Q158" s="56" t="s">
        <v>35</v>
      </c>
    </row>
    <row r="159" spans="1:17" ht="15.75" customHeight="1" hidden="1">
      <c r="A159" s="56" t="s">
        <v>36</v>
      </c>
      <c r="B159" s="99">
        <v>208238.02405856003</v>
      </c>
      <c r="C159" s="99">
        <v>92144.82112583</v>
      </c>
      <c r="D159" s="99">
        <v>63058.19550982</v>
      </c>
      <c r="E159" s="99">
        <v>11798.255422909999</v>
      </c>
      <c r="F159" s="99">
        <v>41236.752</v>
      </c>
      <c r="G159" s="99">
        <v>487401.63658975996</v>
      </c>
      <c r="H159" s="191">
        <v>253857.93459259998</v>
      </c>
      <c r="I159" s="191">
        <v>16040.87181041</v>
      </c>
      <c r="J159" s="191">
        <v>210750.22018675</v>
      </c>
      <c r="K159" s="191">
        <v>43552.78773914</v>
      </c>
      <c r="L159" s="191">
        <v>17604.30020806</v>
      </c>
      <c r="M159" s="99">
        <v>0</v>
      </c>
      <c r="N159" s="191">
        <v>203206.624072386</v>
      </c>
      <c r="O159" s="191">
        <v>86105.63809393774</v>
      </c>
      <c r="P159" s="191">
        <v>1055176.8389118938</v>
      </c>
      <c r="Q159" s="56" t="s">
        <v>36</v>
      </c>
    </row>
    <row r="160" spans="1:17" ht="15.75" customHeight="1" hidden="1">
      <c r="A160" s="56" t="s">
        <v>37</v>
      </c>
      <c r="B160" s="99">
        <v>218502.75226175002</v>
      </c>
      <c r="C160" s="99">
        <v>101872.70860982</v>
      </c>
      <c r="D160" s="99">
        <v>62866.68279657</v>
      </c>
      <c r="E160" s="99">
        <v>12141.04485536</v>
      </c>
      <c r="F160" s="99">
        <v>41622.316</v>
      </c>
      <c r="G160" s="99">
        <v>522276.35727341</v>
      </c>
      <c r="H160" s="191">
        <v>273486.08410267</v>
      </c>
      <c r="I160" s="191">
        <v>18732.24947304</v>
      </c>
      <c r="J160" s="191">
        <v>217319.74888862</v>
      </c>
      <c r="K160" s="191">
        <v>56627.37817353</v>
      </c>
      <c r="L160" s="191">
        <v>14361.075596129998</v>
      </c>
      <c r="M160" s="99">
        <v>2126.572</v>
      </c>
      <c r="N160" s="191">
        <v>211757.8878036</v>
      </c>
      <c r="O160" s="191">
        <v>84654.43575769757</v>
      </c>
      <c r="P160" s="191">
        <v>1118284.7887839274</v>
      </c>
      <c r="Q160" s="56" t="s">
        <v>37</v>
      </c>
    </row>
    <row r="161" ht="15.75" customHeight="1" hidden="1"/>
    <row r="162" spans="1:17" ht="15.75" customHeight="1" hidden="1">
      <c r="A162" s="6">
        <v>2008</v>
      </c>
      <c r="Q162" s="6">
        <v>2008</v>
      </c>
    </row>
    <row r="163" spans="1:17" ht="15.75" customHeight="1" hidden="1">
      <c r="A163" s="56" t="s">
        <v>25</v>
      </c>
      <c r="B163" s="99">
        <v>224362.22334178002</v>
      </c>
      <c r="C163" s="99">
        <v>105176.93669587</v>
      </c>
      <c r="D163" s="99">
        <v>65482.478091740006</v>
      </c>
      <c r="E163" s="99">
        <v>14230.830970199999</v>
      </c>
      <c r="F163" s="99">
        <v>39471.97758397</v>
      </c>
      <c r="G163" s="99">
        <v>499805.31258528004</v>
      </c>
      <c r="H163" s="191">
        <v>258101.03893344</v>
      </c>
      <c r="I163" s="191">
        <v>16945.635</v>
      </c>
      <c r="J163" s="191">
        <v>221987.25972473004</v>
      </c>
      <c r="K163" s="191">
        <v>57671.39289123</v>
      </c>
      <c r="L163" s="191">
        <v>10260.72231167</v>
      </c>
      <c r="M163" s="99">
        <v>891.7748971599999</v>
      </c>
      <c r="N163" s="191">
        <v>215770.574030691</v>
      </c>
      <c r="O163" s="191">
        <v>85801.11887511899</v>
      </c>
      <c r="P163" s="191">
        <v>1111286.98560591</v>
      </c>
      <c r="Q163" s="56" t="s">
        <v>25</v>
      </c>
    </row>
    <row r="164" spans="1:17" ht="15.75" customHeight="1" hidden="1">
      <c r="A164" s="56" t="s">
        <v>26</v>
      </c>
      <c r="B164" s="99">
        <v>220295.2513007</v>
      </c>
      <c r="C164" s="99">
        <v>101595.52826466999</v>
      </c>
      <c r="D164" s="99">
        <v>64032.791015890005</v>
      </c>
      <c r="E164" s="99">
        <v>16869.23674314</v>
      </c>
      <c r="F164" s="99">
        <v>37797.695277000006</v>
      </c>
      <c r="G164" s="99">
        <v>515680.35291483</v>
      </c>
      <c r="H164" s="191">
        <v>273759.34168461</v>
      </c>
      <c r="I164" s="191">
        <v>15779.694589050001</v>
      </c>
      <c r="J164" s="191">
        <v>222679.82196342</v>
      </c>
      <c r="K164" s="191">
        <v>64457.117473649996</v>
      </c>
      <c r="L164" s="191">
        <v>8939.348706289999</v>
      </c>
      <c r="M164" s="99">
        <v>0</v>
      </c>
      <c r="N164" s="191">
        <v>219471.583225449</v>
      </c>
      <c r="O164" s="191">
        <v>96845.97048974849</v>
      </c>
      <c r="P164" s="191">
        <v>1142852.7773326673</v>
      </c>
      <c r="Q164" s="56" t="s">
        <v>26</v>
      </c>
    </row>
    <row r="165" spans="1:17" ht="15.75" customHeight="1" hidden="1">
      <c r="A165" s="56" t="s">
        <v>27</v>
      </c>
      <c r="B165" s="99">
        <v>227532.77765091</v>
      </c>
      <c r="C165" s="99">
        <v>110862.13920344999</v>
      </c>
      <c r="D165" s="99">
        <v>64154.97828596999</v>
      </c>
      <c r="E165" s="99">
        <v>15297.26018497</v>
      </c>
      <c r="F165" s="99">
        <v>37218.39997651999</v>
      </c>
      <c r="G165" s="99">
        <v>533603.99718233</v>
      </c>
      <c r="H165" s="191">
        <v>287480.78067728</v>
      </c>
      <c r="I165" s="191">
        <v>23686.07831949</v>
      </c>
      <c r="J165" s="191">
        <v>219781.79295067</v>
      </c>
      <c r="K165" s="191">
        <v>71594.69657444001</v>
      </c>
      <c r="L165" s="191">
        <v>20665.241879020003</v>
      </c>
      <c r="M165" s="99">
        <v>3924.01272081</v>
      </c>
      <c r="N165" s="191">
        <v>236558.236564309</v>
      </c>
      <c r="O165" s="191">
        <v>103505.41827887474</v>
      </c>
      <c r="P165" s="191">
        <v>1211965.2877252835</v>
      </c>
      <c r="Q165" s="56" t="s">
        <v>27</v>
      </c>
    </row>
    <row r="166" spans="1:17" ht="15.75" customHeight="1" hidden="1">
      <c r="A166" s="56" t="s">
        <v>28</v>
      </c>
      <c r="B166" s="99">
        <v>232438.06077805</v>
      </c>
      <c r="C166" s="99">
        <v>121322.93586158002</v>
      </c>
      <c r="D166" s="99">
        <v>63195.75046114</v>
      </c>
      <c r="E166" s="99">
        <v>14948.28887812</v>
      </c>
      <c r="F166" s="99">
        <v>32971.085577210004</v>
      </c>
      <c r="G166" s="99">
        <v>556924.47943423</v>
      </c>
      <c r="H166" s="191">
        <v>297201.43294764</v>
      </c>
      <c r="I166" s="191">
        <v>33038.99748402</v>
      </c>
      <c r="J166" s="191">
        <v>221883.42704245998</v>
      </c>
      <c r="K166" s="191">
        <v>79296.43509094999</v>
      </c>
      <c r="L166" s="191">
        <v>21711.18837082</v>
      </c>
      <c r="M166" s="99">
        <v>1204.0063596400003</v>
      </c>
      <c r="N166" s="191">
        <v>240388.01453723002</v>
      </c>
      <c r="O166" s="191">
        <v>102295.597044055</v>
      </c>
      <c r="P166" s="191">
        <v>1244943.8454204751</v>
      </c>
      <c r="Q166" s="56" t="s">
        <v>28</v>
      </c>
    </row>
    <row r="167" spans="1:17" ht="15.75" customHeight="1" hidden="1">
      <c r="A167" s="56" t="s">
        <v>29</v>
      </c>
      <c r="B167" s="99">
        <v>251481.58292398998</v>
      </c>
      <c r="C167" s="99">
        <v>127844.83145149</v>
      </c>
      <c r="D167" s="99">
        <v>70621.23094000999</v>
      </c>
      <c r="E167" s="99">
        <v>14024.112463129999</v>
      </c>
      <c r="F167" s="99">
        <v>38991.40806936</v>
      </c>
      <c r="G167" s="99">
        <v>534572.04733423</v>
      </c>
      <c r="H167" s="191">
        <v>268085.77505214</v>
      </c>
      <c r="I167" s="191">
        <v>36719.57336146</v>
      </c>
      <c r="J167" s="191">
        <v>224612.69640902002</v>
      </c>
      <c r="K167" s="191">
        <v>76850.44612979</v>
      </c>
      <c r="L167" s="191">
        <v>22781.11118544</v>
      </c>
      <c r="M167" s="99">
        <v>0</v>
      </c>
      <c r="N167" s="191">
        <v>230959.93438667298</v>
      </c>
      <c r="O167" s="191">
        <v>101408.70928023322</v>
      </c>
      <c r="P167" s="191">
        <v>1230881.844204266</v>
      </c>
      <c r="Q167" s="56" t="s">
        <v>29</v>
      </c>
    </row>
    <row r="168" spans="1:17" ht="15.75" customHeight="1" hidden="1">
      <c r="A168" s="56" t="s">
        <v>30</v>
      </c>
      <c r="B168" s="99">
        <v>260593.5065028</v>
      </c>
      <c r="C168" s="99">
        <v>127391.21534607</v>
      </c>
      <c r="D168" s="99">
        <v>69047.02743583999</v>
      </c>
      <c r="E168" s="99">
        <v>20009.91376057</v>
      </c>
      <c r="F168" s="99">
        <v>44145.34996032</v>
      </c>
      <c r="G168" s="99">
        <v>558912.0721806</v>
      </c>
      <c r="H168" s="191">
        <v>291641.99411886</v>
      </c>
      <c r="I168" s="191">
        <v>34631.27327212</v>
      </c>
      <c r="J168" s="191">
        <v>230874.17078962002</v>
      </c>
      <c r="K168" s="191">
        <v>86158.63364939</v>
      </c>
      <c r="L168" s="191">
        <v>22975.99468236</v>
      </c>
      <c r="M168" s="99">
        <v>0</v>
      </c>
      <c r="N168" s="191">
        <v>232611.60779137097</v>
      </c>
      <c r="O168" s="191">
        <v>102322.53247754776</v>
      </c>
      <c r="P168" s="191">
        <v>1276762.3016593389</v>
      </c>
      <c r="Q168" s="56" t="s">
        <v>30</v>
      </c>
    </row>
    <row r="169" spans="1:17" ht="15.75" customHeight="1" hidden="1">
      <c r="A169" s="56" t="s">
        <v>31</v>
      </c>
      <c r="B169" s="99">
        <v>248260.33475003138</v>
      </c>
      <c r="C169" s="99">
        <v>108715.98914569</v>
      </c>
      <c r="D169" s="99">
        <v>73148.60150347001</v>
      </c>
      <c r="E169" s="99">
        <v>20572.50988524</v>
      </c>
      <c r="F169" s="99">
        <v>45823.23421563138</v>
      </c>
      <c r="G169" s="99">
        <v>554790.3131440848</v>
      </c>
      <c r="H169" s="191">
        <v>259554.7637384248</v>
      </c>
      <c r="I169" s="191">
        <v>48309.23521141</v>
      </c>
      <c r="J169" s="191">
        <v>234531.35306065</v>
      </c>
      <c r="K169" s="191">
        <v>112227.4379748738</v>
      </c>
      <c r="L169" s="191">
        <v>14388.490347339999</v>
      </c>
      <c r="M169" s="99">
        <v>0</v>
      </c>
      <c r="N169" s="191">
        <v>234002.13824585202</v>
      </c>
      <c r="O169" s="191">
        <v>105381.14983195555</v>
      </c>
      <c r="P169" s="191">
        <v>1275709.7530411275</v>
      </c>
      <c r="Q169" s="56" t="s">
        <v>31</v>
      </c>
    </row>
    <row r="170" spans="1:17" ht="15.75" customHeight="1" hidden="1">
      <c r="A170" s="56" t="s">
        <v>32</v>
      </c>
      <c r="B170" s="99">
        <v>252584.97785094997</v>
      </c>
      <c r="C170" s="99">
        <v>121355.62813963</v>
      </c>
      <c r="D170" s="99">
        <v>70806.01558533999</v>
      </c>
      <c r="E170" s="99">
        <v>15756.591853420001</v>
      </c>
      <c r="F170" s="99">
        <v>44666.742272560004</v>
      </c>
      <c r="G170" s="99">
        <v>567313.3751393501</v>
      </c>
      <c r="H170" s="191">
        <v>278687.7044944</v>
      </c>
      <c r="I170" s="191">
        <v>46895.980559250005</v>
      </c>
      <c r="J170" s="191">
        <v>237958.53878615002</v>
      </c>
      <c r="K170" s="191">
        <v>99873.93028560998</v>
      </c>
      <c r="L170" s="191">
        <v>19721.80710414</v>
      </c>
      <c r="M170" s="99">
        <v>0</v>
      </c>
      <c r="N170" s="191">
        <v>236607.26491315902</v>
      </c>
      <c r="O170" s="191">
        <v>104410.29650963623</v>
      </c>
      <c r="P170" s="191">
        <v>1294278.5283166952</v>
      </c>
      <c r="Q170" s="56" t="s">
        <v>32</v>
      </c>
    </row>
    <row r="171" spans="1:17" ht="15.75" customHeight="1" hidden="1">
      <c r="A171" s="56" t="s">
        <v>33</v>
      </c>
      <c r="B171" s="99">
        <v>271759.27012001</v>
      </c>
      <c r="C171" s="99">
        <v>130710.37707815</v>
      </c>
      <c r="D171" s="99">
        <v>76786.59534853</v>
      </c>
      <c r="E171" s="99">
        <v>16879.67163885</v>
      </c>
      <c r="F171" s="99">
        <v>47382.62605448</v>
      </c>
      <c r="G171" s="99">
        <v>592290.80026489</v>
      </c>
      <c r="H171" s="191">
        <v>284670.48591806</v>
      </c>
      <c r="I171" s="191">
        <v>58233.06730363</v>
      </c>
      <c r="J171" s="191">
        <v>242955.52173582997</v>
      </c>
      <c r="K171" s="191">
        <v>103420.96898399</v>
      </c>
      <c r="L171" s="191">
        <v>24149.198896820002</v>
      </c>
      <c r="M171" s="99">
        <v>0</v>
      </c>
      <c r="N171" s="191">
        <v>275342.190450448</v>
      </c>
      <c r="O171" s="191">
        <v>128059.01056240524</v>
      </c>
      <c r="P171" s="191">
        <v>1401095.0775284334</v>
      </c>
      <c r="Q171" s="56" t="s">
        <v>33</v>
      </c>
    </row>
    <row r="172" spans="1:17" ht="15.75" customHeight="1" hidden="1">
      <c r="A172" s="56" t="s">
        <v>35</v>
      </c>
      <c r="B172" s="99">
        <v>274796.95515160996</v>
      </c>
      <c r="C172" s="99">
        <v>139691.01647779</v>
      </c>
      <c r="D172" s="99">
        <v>73562.26124733</v>
      </c>
      <c r="E172" s="99">
        <v>21124.22894186</v>
      </c>
      <c r="F172" s="99">
        <v>40419.44848463</v>
      </c>
      <c r="G172" s="99">
        <v>641072.08620365</v>
      </c>
      <c r="H172" s="191">
        <v>329639.0150961</v>
      </c>
      <c r="I172" s="191">
        <v>68494.61880703</v>
      </c>
      <c r="J172" s="191">
        <v>238195.60179771</v>
      </c>
      <c r="K172" s="191">
        <v>115529.16102941</v>
      </c>
      <c r="L172" s="191">
        <v>29138.23095265</v>
      </c>
      <c r="M172" s="99">
        <v>0</v>
      </c>
      <c r="N172" s="191">
        <v>278256.1164444109</v>
      </c>
      <c r="O172" s="191">
        <v>145495.97909828913</v>
      </c>
      <c r="P172" s="191">
        <v>1492403.8236635101</v>
      </c>
      <c r="Q172" s="56" t="s">
        <v>35</v>
      </c>
    </row>
    <row r="173" spans="1:17" ht="15.75" customHeight="1" hidden="1">
      <c r="A173" s="56" t="s">
        <v>36</v>
      </c>
      <c r="B173" s="99">
        <v>287594.48202858</v>
      </c>
      <c r="C173" s="99">
        <v>143036.66538058998</v>
      </c>
      <c r="D173" s="99">
        <v>81044.55093062</v>
      </c>
      <c r="E173" s="99">
        <v>21812.32513978</v>
      </c>
      <c r="F173" s="99">
        <v>41700.940577589994</v>
      </c>
      <c r="G173" s="99">
        <v>652277.71723491</v>
      </c>
      <c r="H173" s="191">
        <v>327036.53361277</v>
      </c>
      <c r="I173" s="191">
        <v>81718.25283339</v>
      </c>
      <c r="J173" s="191">
        <v>239186.31124347</v>
      </c>
      <c r="K173" s="191">
        <v>117685.87795170001</v>
      </c>
      <c r="L173" s="191">
        <v>45581.131255450004</v>
      </c>
      <c r="M173" s="99">
        <v>0</v>
      </c>
      <c r="N173" s="191">
        <v>285281.8410074629</v>
      </c>
      <c r="O173" s="191">
        <v>150284.79214412716</v>
      </c>
      <c r="P173" s="191">
        <v>1545661.8617723398</v>
      </c>
      <c r="Q173" s="56" t="s">
        <v>36</v>
      </c>
    </row>
    <row r="174" spans="1:17" ht="15.75" customHeight="1" hidden="1">
      <c r="A174" s="56" t="s">
        <v>37</v>
      </c>
      <c r="B174" s="99">
        <v>301740.71917373</v>
      </c>
      <c r="C174" s="99">
        <v>160732.73395499</v>
      </c>
      <c r="D174" s="99">
        <v>80589.93433972001</v>
      </c>
      <c r="E174" s="99">
        <v>22626.11313333</v>
      </c>
      <c r="F174" s="99">
        <v>37791.937745690004</v>
      </c>
      <c r="G174" s="99">
        <v>649324.82991557</v>
      </c>
      <c r="H174" s="191">
        <v>307444.08283102</v>
      </c>
      <c r="I174" s="191">
        <v>89499.22527803999</v>
      </c>
      <c r="J174" s="191">
        <v>248485.03016917003</v>
      </c>
      <c r="K174" s="191">
        <v>110097.6853439</v>
      </c>
      <c r="L174" s="191">
        <v>47161.88769032</v>
      </c>
      <c r="M174" s="99">
        <v>0</v>
      </c>
      <c r="N174" s="191">
        <v>290853.05484896566</v>
      </c>
      <c r="O174" s="191">
        <v>160943.82963935778</v>
      </c>
      <c r="P174" s="191">
        <v>1565816.9978813634</v>
      </c>
      <c r="Q174" s="56" t="s">
        <v>37</v>
      </c>
    </row>
    <row r="175" ht="15.75" customHeight="1" hidden="1">
      <c r="M175" s="99"/>
    </row>
    <row r="176" spans="1:17" ht="15.75" customHeight="1" hidden="1">
      <c r="A176" s="6">
        <v>2009</v>
      </c>
      <c r="M176" s="99"/>
      <c r="Q176" s="6">
        <v>2009</v>
      </c>
    </row>
    <row r="177" spans="1:17" ht="15.75" customHeight="1" hidden="1">
      <c r="A177" s="56" t="s">
        <v>25</v>
      </c>
      <c r="B177" s="99">
        <v>315841.72997671005</v>
      </c>
      <c r="C177" s="99">
        <v>178682.84268049002</v>
      </c>
      <c r="D177" s="99">
        <v>78423.94166179</v>
      </c>
      <c r="E177" s="99">
        <v>24214.68474538</v>
      </c>
      <c r="F177" s="99">
        <v>34520.26088905</v>
      </c>
      <c r="G177" s="99">
        <v>647383.6681024699</v>
      </c>
      <c r="H177" s="191">
        <v>302038.46958147</v>
      </c>
      <c r="I177" s="191">
        <v>92896.56929478</v>
      </c>
      <c r="J177" s="191">
        <v>247675.57017021</v>
      </c>
      <c r="K177" s="191">
        <v>118221.58435642</v>
      </c>
      <c r="L177" s="191">
        <v>38723.41761214</v>
      </c>
      <c r="M177" s="99">
        <v>0</v>
      </c>
      <c r="N177" s="191">
        <v>301330.27162520273</v>
      </c>
      <c r="O177" s="191">
        <v>137828.86204643347</v>
      </c>
      <c r="P177" s="191">
        <v>1566586.703821286</v>
      </c>
      <c r="Q177" s="56" t="s">
        <v>25</v>
      </c>
    </row>
    <row r="178" spans="1:17" ht="15.75" customHeight="1" hidden="1">
      <c r="A178" s="56" t="s">
        <v>26</v>
      </c>
      <c r="B178" s="99">
        <v>333463.42723464</v>
      </c>
      <c r="C178" s="99">
        <v>168534.20741950002</v>
      </c>
      <c r="D178" s="99">
        <v>89336.66967788001</v>
      </c>
      <c r="E178" s="99">
        <v>27563.91126451</v>
      </c>
      <c r="F178" s="99">
        <v>48028.63887275</v>
      </c>
      <c r="G178" s="99">
        <v>673838.06370958</v>
      </c>
      <c r="H178" s="191">
        <v>305452.35768945</v>
      </c>
      <c r="I178" s="191">
        <v>114036.63878789</v>
      </c>
      <c r="J178" s="191">
        <v>250982.35063611</v>
      </c>
      <c r="K178" s="191">
        <v>114500.64435642</v>
      </c>
      <c r="L178" s="191">
        <v>41297.92669509</v>
      </c>
      <c r="M178" s="99">
        <v>0</v>
      </c>
      <c r="N178" s="191">
        <v>303229.2631336332</v>
      </c>
      <c r="O178" s="191">
        <v>148640.313023462</v>
      </c>
      <c r="P178" s="191">
        <v>1622690.2970330752</v>
      </c>
      <c r="Q178" s="56" t="s">
        <v>26</v>
      </c>
    </row>
    <row r="179" spans="1:17" ht="15.75" customHeight="1" hidden="1">
      <c r="A179" s="56" t="s">
        <v>27</v>
      </c>
      <c r="B179" s="99">
        <v>322951.92686247994</v>
      </c>
      <c r="C179" s="99">
        <v>153645.24681175</v>
      </c>
      <c r="D179" s="99">
        <v>94739.49578103</v>
      </c>
      <c r="E179" s="99">
        <v>27786.60701638</v>
      </c>
      <c r="F179" s="99">
        <v>46780.57725332</v>
      </c>
      <c r="G179" s="99">
        <v>675597.7001458451</v>
      </c>
      <c r="H179" s="191">
        <v>291646.265471945</v>
      </c>
      <c r="I179" s="191">
        <v>125318.97846361999</v>
      </c>
      <c r="J179" s="191">
        <v>251376.17112463</v>
      </c>
      <c r="K179" s="191">
        <v>119543.50964412998</v>
      </c>
      <c r="L179" s="191">
        <v>36282.264956479994</v>
      </c>
      <c r="M179" s="99">
        <v>0</v>
      </c>
      <c r="N179" s="191">
        <v>302400.3551976109</v>
      </c>
      <c r="O179" s="191">
        <v>167196.69129529895</v>
      </c>
      <c r="P179" s="191">
        <v>1627754.114716115</v>
      </c>
      <c r="Q179" s="56" t="s">
        <v>27</v>
      </c>
    </row>
    <row r="180" spans="1:17" ht="15.75" customHeight="1" hidden="1">
      <c r="A180" s="56" t="s">
        <v>28</v>
      </c>
      <c r="B180" s="99">
        <v>336890.17398577003</v>
      </c>
      <c r="C180" s="99">
        <v>151198.69535743998</v>
      </c>
      <c r="D180" s="99">
        <v>107739.68799278999</v>
      </c>
      <c r="E180" s="99">
        <v>30991.14975151</v>
      </c>
      <c r="F180" s="99">
        <v>46960.64088402999</v>
      </c>
      <c r="G180" s="99">
        <v>700613.4455423801</v>
      </c>
      <c r="H180" s="191">
        <v>305423.99118341005</v>
      </c>
      <c r="I180" s="191">
        <v>136210.9028091</v>
      </c>
      <c r="J180" s="191">
        <v>250066.5503479</v>
      </c>
      <c r="K180" s="191">
        <v>118570.62323518998</v>
      </c>
      <c r="L180" s="191">
        <v>43220.59463167001</v>
      </c>
      <c r="M180" s="99">
        <v>0</v>
      </c>
      <c r="N180" s="191">
        <v>296582.34299536195</v>
      </c>
      <c r="O180" s="191">
        <v>180208.22027965687</v>
      </c>
      <c r="P180" s="191">
        <v>1678561.7398480591</v>
      </c>
      <c r="Q180" s="56" t="s">
        <v>28</v>
      </c>
    </row>
    <row r="181" spans="1:17" ht="18.75" customHeight="1" hidden="1">
      <c r="A181" s="56" t="s">
        <v>29</v>
      </c>
      <c r="B181" s="99">
        <v>324924.59140349994</v>
      </c>
      <c r="C181" s="99">
        <v>154054.96671564</v>
      </c>
      <c r="D181" s="99">
        <v>104062.86531749</v>
      </c>
      <c r="E181" s="99">
        <v>27369.87840103</v>
      </c>
      <c r="F181" s="99">
        <v>39436.880969339996</v>
      </c>
      <c r="G181" s="99">
        <v>670291.37156041</v>
      </c>
      <c r="H181" s="191">
        <v>303784.49930484005</v>
      </c>
      <c r="I181" s="191">
        <v>97341.49557727002</v>
      </c>
      <c r="J181" s="191">
        <v>256173.55238058002</v>
      </c>
      <c r="K181" s="191">
        <v>159878.69175308</v>
      </c>
      <c r="L181" s="191">
        <v>41740.45207678</v>
      </c>
      <c r="M181" s="99">
        <v>0</v>
      </c>
      <c r="N181" s="191">
        <v>299330.24136179156</v>
      </c>
      <c r="O181" s="191">
        <v>169832.27436164438</v>
      </c>
      <c r="P181" s="191">
        <v>1668184.9242024359</v>
      </c>
      <c r="Q181" s="56" t="s">
        <v>29</v>
      </c>
    </row>
    <row r="182" spans="1:17" ht="15.75" customHeight="1" hidden="1">
      <c r="A182" s="56" t="s">
        <v>30</v>
      </c>
      <c r="B182" s="99">
        <v>314405.96193395</v>
      </c>
      <c r="C182" s="99">
        <v>129738.97371435001</v>
      </c>
      <c r="D182" s="99">
        <v>108442.76910421</v>
      </c>
      <c r="E182" s="99">
        <v>28687.102870609997</v>
      </c>
      <c r="F182" s="99">
        <v>47537.116244779994</v>
      </c>
      <c r="G182" s="99">
        <v>694972.47207244</v>
      </c>
      <c r="H182" s="191">
        <v>328654.12963322</v>
      </c>
      <c r="I182" s="191">
        <v>91082.63142655</v>
      </c>
      <c r="J182" s="191">
        <v>265702.33130319003</v>
      </c>
      <c r="K182" s="191">
        <v>164652.08252327002</v>
      </c>
      <c r="L182" s="191">
        <v>51656.29069826</v>
      </c>
      <c r="M182" s="99">
        <v>0</v>
      </c>
      <c r="N182" s="191">
        <v>295498.6383612324</v>
      </c>
      <c r="O182" s="191">
        <v>186402.22719331353</v>
      </c>
      <c r="P182" s="191">
        <v>1710431.949576116</v>
      </c>
      <c r="Q182" s="56" t="s">
        <v>30</v>
      </c>
    </row>
    <row r="183" spans="1:17" ht="15.75" customHeight="1" hidden="1">
      <c r="A183" s="56" t="s">
        <v>31</v>
      </c>
      <c r="B183" s="100">
        <f>C183+D183+E183+F183</f>
        <v>342399</v>
      </c>
      <c r="C183" s="99">
        <v>140480</v>
      </c>
      <c r="D183" s="99">
        <v>116166</v>
      </c>
      <c r="E183" s="99">
        <v>29832</v>
      </c>
      <c r="F183" s="99">
        <v>55921</v>
      </c>
      <c r="G183" s="99">
        <v>715119</v>
      </c>
      <c r="H183" s="191">
        <v>340032</v>
      </c>
      <c r="I183" s="191">
        <v>100745</v>
      </c>
      <c r="J183" s="191">
        <v>271873</v>
      </c>
      <c r="K183" s="191">
        <v>177845</v>
      </c>
      <c r="L183" s="191">
        <v>56862</v>
      </c>
      <c r="M183" s="99">
        <v>4436</v>
      </c>
      <c r="N183" s="191">
        <v>296883</v>
      </c>
      <c r="O183" s="191">
        <v>179095</v>
      </c>
      <c r="P183" s="191">
        <v>1780747</v>
      </c>
      <c r="Q183" s="56" t="s">
        <v>31</v>
      </c>
    </row>
    <row r="184" spans="1:17" ht="15.75" customHeight="1" hidden="1">
      <c r="A184" s="56" t="s">
        <v>32</v>
      </c>
      <c r="B184" s="100">
        <f>C184+D184+E184+F184</f>
        <v>339086</v>
      </c>
      <c r="C184" s="99">
        <v>132222</v>
      </c>
      <c r="D184" s="99">
        <v>117904</v>
      </c>
      <c r="E184" s="99">
        <v>31070</v>
      </c>
      <c r="F184" s="99">
        <v>57890</v>
      </c>
      <c r="G184" s="99">
        <v>752262</v>
      </c>
      <c r="H184" s="191">
        <v>366285</v>
      </c>
      <c r="I184" s="191">
        <v>102318</v>
      </c>
      <c r="J184" s="191">
        <v>281538</v>
      </c>
      <c r="K184" s="191">
        <v>176822</v>
      </c>
      <c r="L184" s="191">
        <v>42329</v>
      </c>
      <c r="M184" s="99">
        <v>6713</v>
      </c>
      <c r="N184" s="191">
        <v>315662</v>
      </c>
      <c r="O184" s="191">
        <v>171026</v>
      </c>
      <c r="P184" s="191">
        <v>1818108</v>
      </c>
      <c r="Q184" s="56" t="s">
        <v>32</v>
      </c>
    </row>
    <row r="185" spans="1:17" ht="15.75" customHeight="1" hidden="1">
      <c r="A185" s="56" t="s">
        <v>33</v>
      </c>
      <c r="B185" s="100">
        <v>363016.79062641994</v>
      </c>
      <c r="C185" s="99">
        <v>133234.70550845002</v>
      </c>
      <c r="D185" s="99">
        <v>134362.87207784</v>
      </c>
      <c r="E185" s="99">
        <v>38138.03824321</v>
      </c>
      <c r="F185" s="99">
        <v>57281.17479691999</v>
      </c>
      <c r="G185" s="99">
        <v>774091.3808624242</v>
      </c>
      <c r="H185" s="191">
        <v>361178.79226743395</v>
      </c>
      <c r="I185" s="191">
        <v>100954.66722975</v>
      </c>
      <c r="J185" s="191">
        <v>296728.96345880994</v>
      </c>
      <c r="K185" s="191">
        <v>172205.6246948513</v>
      </c>
      <c r="L185" s="191">
        <v>49039.728742420004</v>
      </c>
      <c r="M185" s="99">
        <v>0</v>
      </c>
      <c r="N185" s="191">
        <v>333005.8236954322</v>
      </c>
      <c r="O185" s="191">
        <v>186660.40513342788</v>
      </c>
      <c r="P185" s="191">
        <v>1885933.5235633855</v>
      </c>
      <c r="Q185" s="56" t="s">
        <v>33</v>
      </c>
    </row>
    <row r="186" spans="1:17" ht="15.75" customHeight="1" hidden="1">
      <c r="A186" s="56" t="s">
        <v>35</v>
      </c>
      <c r="B186" s="100">
        <v>372640.27083200996</v>
      </c>
      <c r="C186" s="99">
        <v>143788.13827444997</v>
      </c>
      <c r="D186" s="99">
        <v>137890.20372093003</v>
      </c>
      <c r="E186" s="99">
        <v>37696.18925064</v>
      </c>
      <c r="F186" s="99">
        <v>53265.73958598999</v>
      </c>
      <c r="G186" s="99">
        <v>838722.6383791937</v>
      </c>
      <c r="H186" s="191">
        <v>417736.817422866</v>
      </c>
      <c r="I186" s="191">
        <v>92697.06301549</v>
      </c>
      <c r="J186" s="191">
        <v>307064.51103921793</v>
      </c>
      <c r="K186" s="191">
        <v>166456.32262523</v>
      </c>
      <c r="L186" s="191">
        <v>39707.93690258</v>
      </c>
      <c r="M186" s="99">
        <v>15258.041332</v>
      </c>
      <c r="N186" s="191">
        <v>341676.9803217304</v>
      </c>
      <c r="O186" s="191">
        <v>176295.41683788574</v>
      </c>
      <c r="P186" s="191">
        <v>1963053.58586731</v>
      </c>
      <c r="Q186" s="56" t="s">
        <v>35</v>
      </c>
    </row>
    <row r="187" spans="1:17" ht="15.75" customHeight="1" hidden="1">
      <c r="A187" s="56" t="s">
        <v>36</v>
      </c>
      <c r="B187" s="100">
        <v>344009.41355868</v>
      </c>
      <c r="C187" s="99">
        <v>130379.28973954162</v>
      </c>
      <c r="D187" s="99">
        <v>125527.3601447</v>
      </c>
      <c r="E187" s="99">
        <v>32891.45626115</v>
      </c>
      <c r="F187" s="99">
        <v>55211.30741328841</v>
      </c>
      <c r="G187" s="99">
        <v>882451.6064586088</v>
      </c>
      <c r="H187" s="191">
        <v>449560.48603060446</v>
      </c>
      <c r="I187" s="191">
        <v>92464.85688786</v>
      </c>
      <c r="J187" s="191">
        <v>314511.07922647416</v>
      </c>
      <c r="K187" s="191">
        <v>181098.9730781459</v>
      </c>
      <c r="L187" s="191">
        <v>40650.055832850005</v>
      </c>
      <c r="M187" s="99">
        <v>9340.172294</v>
      </c>
      <c r="N187" s="191">
        <v>354903.8086017609</v>
      </c>
      <c r="O187" s="191">
        <v>190040.49878859316</v>
      </c>
      <c r="P187" s="191">
        <v>2014319.0992733284</v>
      </c>
      <c r="Q187" s="56" t="s">
        <v>36</v>
      </c>
    </row>
    <row r="188" spans="1:17" ht="15.75" customHeight="1" hidden="1">
      <c r="A188" s="56" t="s">
        <v>37</v>
      </c>
      <c r="B188" s="100">
        <v>359688</v>
      </c>
      <c r="C188" s="99">
        <v>138914</v>
      </c>
      <c r="D188" s="99">
        <v>133108.4154821</v>
      </c>
      <c r="E188" s="99">
        <v>32783.281437109996</v>
      </c>
      <c r="F188" s="99">
        <v>54882.416706530006</v>
      </c>
      <c r="G188" s="99">
        <v>875260</v>
      </c>
      <c r="H188" s="191">
        <v>437433.11866463267</v>
      </c>
      <c r="I188" s="191">
        <v>84230</v>
      </c>
      <c r="J188" s="191">
        <v>329181.03170142</v>
      </c>
      <c r="K188" s="191">
        <v>194177</v>
      </c>
      <c r="L188" s="191">
        <v>34513.1872408</v>
      </c>
      <c r="M188" s="99">
        <v>5965.782</v>
      </c>
      <c r="N188" s="191">
        <v>375517.03268661594</v>
      </c>
      <c r="O188" s="191">
        <v>168551.3624489259</v>
      </c>
      <c r="P188" s="191">
        <v>2026082.6442197445</v>
      </c>
      <c r="Q188" s="56" t="s">
        <v>37</v>
      </c>
    </row>
    <row r="189" spans="7:13" ht="15.75" customHeight="1">
      <c r="G189" s="106"/>
      <c r="M189" s="99"/>
    </row>
    <row r="190" spans="1:17" ht="15.75" customHeight="1">
      <c r="A190" s="43">
        <v>2010</v>
      </c>
      <c r="Q190" s="43">
        <v>2010</v>
      </c>
    </row>
    <row r="191" spans="1:17" ht="15.75" customHeight="1">
      <c r="A191" s="64" t="s">
        <v>25</v>
      </c>
      <c r="B191" s="100">
        <v>347593</v>
      </c>
      <c r="C191" s="99">
        <v>121579</v>
      </c>
      <c r="D191" s="99">
        <v>135219</v>
      </c>
      <c r="E191" s="99">
        <v>32779</v>
      </c>
      <c r="F191" s="99">
        <v>58016</v>
      </c>
      <c r="G191" s="99">
        <v>874678</v>
      </c>
      <c r="H191" s="191">
        <v>449492</v>
      </c>
      <c r="I191" s="191">
        <v>81598</v>
      </c>
      <c r="J191" s="191">
        <v>321944</v>
      </c>
      <c r="K191" s="191">
        <v>186133</v>
      </c>
      <c r="L191" s="191">
        <v>41652</v>
      </c>
      <c r="M191" s="99">
        <v>11983</v>
      </c>
      <c r="N191" s="191">
        <v>381333</v>
      </c>
      <c r="O191" s="191">
        <v>141334</v>
      </c>
      <c r="P191" s="191">
        <v>2006708</v>
      </c>
      <c r="Q191" s="64" t="s">
        <v>25</v>
      </c>
    </row>
    <row r="192" spans="1:17" ht="15.75" customHeight="1">
      <c r="A192" s="64" t="s">
        <v>26</v>
      </c>
      <c r="B192" s="100">
        <v>352405</v>
      </c>
      <c r="C192" s="99">
        <v>126588</v>
      </c>
      <c r="D192" s="99">
        <v>138350</v>
      </c>
      <c r="E192" s="99">
        <v>33552</v>
      </c>
      <c r="F192" s="99">
        <v>53915</v>
      </c>
      <c r="G192" s="99">
        <v>864419</v>
      </c>
      <c r="H192" s="191">
        <v>452688</v>
      </c>
      <c r="I192" s="191">
        <v>67721</v>
      </c>
      <c r="J192" s="191">
        <v>321518</v>
      </c>
      <c r="K192" s="191">
        <v>194158</v>
      </c>
      <c r="L192" s="191">
        <v>31797</v>
      </c>
      <c r="M192" s="99">
        <v>8503</v>
      </c>
      <c r="N192" s="191">
        <v>383531</v>
      </c>
      <c r="O192" s="191">
        <v>165443</v>
      </c>
      <c r="P192" s="191">
        <v>2010562</v>
      </c>
      <c r="Q192" s="64" t="s">
        <v>26</v>
      </c>
    </row>
    <row r="193" spans="1:17" ht="15.75" customHeight="1">
      <c r="A193" s="64" t="s">
        <v>27</v>
      </c>
      <c r="B193" s="100">
        <v>345536</v>
      </c>
      <c r="C193" s="99">
        <v>122476</v>
      </c>
      <c r="D193" s="99">
        <v>138339</v>
      </c>
      <c r="E193" s="99">
        <v>35663</v>
      </c>
      <c r="F193" s="99">
        <v>49057</v>
      </c>
      <c r="G193" s="99">
        <v>862998</v>
      </c>
      <c r="H193" s="191">
        <v>461026</v>
      </c>
      <c r="I193" s="191">
        <v>63267</v>
      </c>
      <c r="J193" s="191">
        <v>327836</v>
      </c>
      <c r="K193" s="191">
        <v>205438</v>
      </c>
      <c r="L193" s="191">
        <v>30782</v>
      </c>
      <c r="M193" s="99">
        <v>0</v>
      </c>
      <c r="N193" s="191">
        <v>391518</v>
      </c>
      <c r="O193" s="191">
        <v>180351</v>
      </c>
      <c r="P193" s="191">
        <v>2045135</v>
      </c>
      <c r="Q193" s="64" t="s">
        <v>27</v>
      </c>
    </row>
    <row r="194" spans="1:17" ht="15.75" customHeight="1">
      <c r="A194" s="64" t="s">
        <v>28</v>
      </c>
      <c r="B194" s="100">
        <v>361603</v>
      </c>
      <c r="C194" s="99">
        <v>132787</v>
      </c>
      <c r="D194" s="99">
        <v>140349</v>
      </c>
      <c r="E194" s="99">
        <v>34679</v>
      </c>
      <c r="F194" s="99">
        <v>53788</v>
      </c>
      <c r="G194" s="99">
        <v>905183</v>
      </c>
      <c r="H194" s="191">
        <v>490108</v>
      </c>
      <c r="I194" s="191">
        <v>68634</v>
      </c>
      <c r="J194" s="191">
        <v>336101</v>
      </c>
      <c r="K194" s="191">
        <v>194885</v>
      </c>
      <c r="L194" s="191">
        <v>30015</v>
      </c>
      <c r="M194" s="99">
        <v>0</v>
      </c>
      <c r="N194" s="191">
        <v>390795</v>
      </c>
      <c r="O194" s="191">
        <v>177983</v>
      </c>
      <c r="P194" s="191">
        <v>2084739</v>
      </c>
      <c r="Q194" s="64" t="s">
        <v>28</v>
      </c>
    </row>
    <row r="195" spans="1:17" ht="15.75" customHeight="1">
      <c r="A195" s="64" t="s">
        <v>29</v>
      </c>
      <c r="B195" s="100">
        <v>390029</v>
      </c>
      <c r="C195" s="99">
        <v>152178</v>
      </c>
      <c r="D195" s="99">
        <v>145813</v>
      </c>
      <c r="E195" s="99">
        <v>38124</v>
      </c>
      <c r="F195" s="99">
        <v>53913</v>
      </c>
      <c r="G195" s="99">
        <v>910879</v>
      </c>
      <c r="H195" s="191">
        <v>473500</v>
      </c>
      <c r="I195" s="191">
        <v>67262</v>
      </c>
      <c r="J195" s="191">
        <v>359071</v>
      </c>
      <c r="K195" s="191">
        <v>217820</v>
      </c>
      <c r="L195" s="191">
        <v>19086</v>
      </c>
      <c r="M195" s="99">
        <v>0</v>
      </c>
      <c r="N195" s="191">
        <v>378202</v>
      </c>
      <c r="O195" s="191">
        <v>162149</v>
      </c>
      <c r="P195" s="142">
        <v>2108043</v>
      </c>
      <c r="Q195" s="64" t="s">
        <v>29</v>
      </c>
    </row>
    <row r="196" spans="1:17" ht="15.75" customHeight="1">
      <c r="A196" s="64" t="s">
        <v>30</v>
      </c>
      <c r="B196" s="100">
        <v>381164</v>
      </c>
      <c r="C196" s="99">
        <v>138648</v>
      </c>
      <c r="D196" s="99">
        <v>144127</v>
      </c>
      <c r="E196" s="99">
        <v>42056</v>
      </c>
      <c r="F196" s="99">
        <v>56333</v>
      </c>
      <c r="G196" s="99">
        <v>945620</v>
      </c>
      <c r="H196" s="191">
        <v>489888</v>
      </c>
      <c r="I196" s="191">
        <v>84416</v>
      </c>
      <c r="J196" s="191">
        <v>358488</v>
      </c>
      <c r="K196" s="191">
        <v>240168</v>
      </c>
      <c r="L196" s="191">
        <v>30880</v>
      </c>
      <c r="M196" s="99">
        <v>131</v>
      </c>
      <c r="N196" s="191">
        <v>368943</v>
      </c>
      <c r="O196" s="191">
        <v>172780</v>
      </c>
      <c r="P196" s="142">
        <v>2178140</v>
      </c>
      <c r="Q196" s="64" t="s">
        <v>30</v>
      </c>
    </row>
    <row r="197" spans="1:17" ht="15.75" customHeight="1">
      <c r="A197" s="56" t="s">
        <v>31</v>
      </c>
      <c r="B197" s="100">
        <v>431936</v>
      </c>
      <c r="C197" s="99">
        <v>163932</v>
      </c>
      <c r="D197" s="99">
        <v>162532</v>
      </c>
      <c r="E197" s="99">
        <v>45204</v>
      </c>
      <c r="F197" s="99">
        <v>60268</v>
      </c>
      <c r="G197" s="99">
        <v>946829</v>
      </c>
      <c r="H197" s="191">
        <v>487558</v>
      </c>
      <c r="I197" s="191">
        <v>83261</v>
      </c>
      <c r="J197" s="191">
        <v>365095</v>
      </c>
      <c r="K197" s="191">
        <v>194723</v>
      </c>
      <c r="L197" s="191">
        <v>52540</v>
      </c>
      <c r="M197" s="99">
        <v>0</v>
      </c>
      <c r="N197" s="191">
        <v>374933</v>
      </c>
      <c r="O197" s="191">
        <v>177649</v>
      </c>
      <c r="P197" s="191">
        <v>2207342</v>
      </c>
      <c r="Q197" s="56" t="s">
        <v>31</v>
      </c>
    </row>
    <row r="198" spans="1:17" ht="15.75" customHeight="1">
      <c r="A198" s="56" t="s">
        <v>32</v>
      </c>
      <c r="B198" s="100">
        <v>446891</v>
      </c>
      <c r="C198" s="99">
        <v>177928</v>
      </c>
      <c r="D198" s="99">
        <v>158396</v>
      </c>
      <c r="E198" s="99">
        <v>47292</v>
      </c>
      <c r="F198" s="99">
        <v>63275</v>
      </c>
      <c r="G198" s="99">
        <v>1033193</v>
      </c>
      <c r="H198" s="191">
        <v>540575</v>
      </c>
      <c r="I198" s="191">
        <v>106604</v>
      </c>
      <c r="J198" s="191">
        <v>376728</v>
      </c>
      <c r="K198" s="191">
        <v>147927</v>
      </c>
      <c r="L198" s="191">
        <v>50831</v>
      </c>
      <c r="M198" s="99">
        <v>0</v>
      </c>
      <c r="N198" s="191">
        <v>384446</v>
      </c>
      <c r="O198" s="191">
        <v>187413</v>
      </c>
      <c r="P198" s="191">
        <v>2278704</v>
      </c>
      <c r="Q198" s="56" t="s">
        <v>32</v>
      </c>
    </row>
    <row r="199" spans="1:17" ht="15.75" customHeight="1">
      <c r="A199" s="56" t="s">
        <v>33</v>
      </c>
      <c r="B199" s="100">
        <v>422899</v>
      </c>
      <c r="C199" s="99">
        <v>159694</v>
      </c>
      <c r="D199" s="99">
        <v>152745</v>
      </c>
      <c r="E199" s="99">
        <v>45651</v>
      </c>
      <c r="F199" s="99">
        <v>64809</v>
      </c>
      <c r="G199" s="99">
        <v>1026402</v>
      </c>
      <c r="H199" s="191">
        <v>530810</v>
      </c>
      <c r="I199" s="191">
        <v>105403</v>
      </c>
      <c r="J199" s="191">
        <v>381276</v>
      </c>
      <c r="K199" s="191">
        <v>146987</v>
      </c>
      <c r="L199" s="191">
        <v>33481</v>
      </c>
      <c r="M199" s="99">
        <v>4990</v>
      </c>
      <c r="N199" s="191">
        <v>398496</v>
      </c>
      <c r="O199" s="191">
        <v>178051</v>
      </c>
      <c r="P199" s="191">
        <v>2244182</v>
      </c>
      <c r="Q199" s="56" t="s">
        <v>33</v>
      </c>
    </row>
    <row r="200" spans="1:17" ht="15.75" customHeight="1">
      <c r="A200" s="43" t="s">
        <v>35</v>
      </c>
      <c r="B200" s="100">
        <v>412476</v>
      </c>
      <c r="C200" s="99">
        <v>176472</v>
      </c>
      <c r="D200" s="99">
        <v>146946</v>
      </c>
      <c r="E200" s="99">
        <v>44246</v>
      </c>
      <c r="F200" s="99">
        <v>44812</v>
      </c>
      <c r="G200" s="99">
        <v>1085279</v>
      </c>
      <c r="H200" s="191">
        <v>574945</v>
      </c>
      <c r="I200" s="191">
        <v>119187</v>
      </c>
      <c r="J200" s="191">
        <v>388052</v>
      </c>
      <c r="K200" s="191">
        <v>146755</v>
      </c>
      <c r="L200" s="191">
        <v>44405</v>
      </c>
      <c r="M200" s="99">
        <v>34469</v>
      </c>
      <c r="N200" s="191">
        <v>410830</v>
      </c>
      <c r="O200" s="191">
        <v>194929</v>
      </c>
      <c r="P200" s="191">
        <v>2360568</v>
      </c>
      <c r="Q200" s="56" t="s">
        <v>35</v>
      </c>
    </row>
    <row r="201" spans="1:17" ht="15.75" customHeight="1">
      <c r="A201" s="43" t="s">
        <v>36</v>
      </c>
      <c r="B201" s="100">
        <v>438768</v>
      </c>
      <c r="C201" s="99">
        <v>198999</v>
      </c>
      <c r="D201" s="99">
        <v>151886</v>
      </c>
      <c r="E201" s="99">
        <v>46691</v>
      </c>
      <c r="F201" s="99">
        <v>41192</v>
      </c>
      <c r="G201" s="99">
        <v>1085218</v>
      </c>
      <c r="H201" s="191">
        <v>557280</v>
      </c>
      <c r="I201" s="191">
        <v>109996</v>
      </c>
      <c r="J201" s="191">
        <v>414021</v>
      </c>
      <c r="K201" s="191">
        <v>175658</v>
      </c>
      <c r="L201" s="191">
        <v>39321</v>
      </c>
      <c r="M201" s="99">
        <v>0</v>
      </c>
      <c r="N201" s="191">
        <v>418893</v>
      </c>
      <c r="O201" s="191">
        <v>200440</v>
      </c>
      <c r="P201" s="191">
        <v>2391897</v>
      </c>
      <c r="Q201" s="56" t="s">
        <v>36</v>
      </c>
    </row>
    <row r="202" spans="1:17" ht="15.75" customHeight="1">
      <c r="A202" s="43" t="s">
        <v>37</v>
      </c>
      <c r="B202" s="100">
        <v>454007</v>
      </c>
      <c r="C202" s="99">
        <v>209383</v>
      </c>
      <c r="D202" s="99">
        <v>163417</v>
      </c>
      <c r="E202" s="99">
        <v>46469</v>
      </c>
      <c r="F202" s="99">
        <v>34738</v>
      </c>
      <c r="G202" s="99">
        <v>1186426</v>
      </c>
      <c r="H202" s="191">
        <v>658597</v>
      </c>
      <c r="I202" s="191">
        <v>112242</v>
      </c>
      <c r="J202" s="191">
        <v>412525</v>
      </c>
      <c r="K202" s="191">
        <v>177393</v>
      </c>
      <c r="L202" s="191">
        <v>29292</v>
      </c>
      <c r="M202" s="99">
        <v>9810</v>
      </c>
      <c r="N202" s="191">
        <v>443243</v>
      </c>
      <c r="O202" s="191">
        <v>204357</v>
      </c>
      <c r="P202" s="191">
        <v>2534363</v>
      </c>
      <c r="Q202" s="56" t="s">
        <v>37</v>
      </c>
    </row>
    <row r="203" spans="1:17" ht="15.75" customHeight="1">
      <c r="A203" s="43"/>
      <c r="B203" s="100"/>
      <c r="C203" s="99"/>
      <c r="D203" s="99"/>
      <c r="E203" s="99"/>
      <c r="F203" s="99"/>
      <c r="G203" s="99"/>
      <c r="H203" s="191"/>
      <c r="I203" s="191"/>
      <c r="J203" s="191"/>
      <c r="K203" s="191"/>
      <c r="L203" s="191"/>
      <c r="M203" s="99"/>
      <c r="N203" s="191"/>
      <c r="O203" s="191"/>
      <c r="P203" s="191"/>
      <c r="Q203" s="56"/>
    </row>
    <row r="204" spans="1:17" ht="15.75" customHeight="1">
      <c r="A204" s="43">
        <v>2011</v>
      </c>
      <c r="Q204" s="43">
        <v>2011</v>
      </c>
    </row>
    <row r="205" spans="1:17" ht="15.75" customHeight="1">
      <c r="A205" s="43" t="s">
        <v>25</v>
      </c>
      <c r="B205" s="100">
        <f>SUM(C205:F205)</f>
        <v>463156.75821515</v>
      </c>
      <c r="C205" s="99">
        <v>225183.92855433002</v>
      </c>
      <c r="D205" s="99">
        <v>143142.21929896</v>
      </c>
      <c r="E205" s="99">
        <v>50080.837380790006</v>
      </c>
      <c r="F205" s="99">
        <v>44749.77298107</v>
      </c>
      <c r="G205" s="99">
        <v>1179053.400215905</v>
      </c>
      <c r="H205" s="191">
        <v>662999.1790602229</v>
      </c>
      <c r="I205" s="191">
        <v>97043.3502623</v>
      </c>
      <c r="J205" s="191">
        <v>416472.279018412</v>
      </c>
      <c r="K205" s="191">
        <v>170471.61110302602</v>
      </c>
      <c r="L205" s="191">
        <v>29198.302784079995</v>
      </c>
      <c r="M205" s="99">
        <v>2239.37348</v>
      </c>
      <c r="N205" s="191">
        <v>451786.8941220362</v>
      </c>
      <c r="O205" s="191">
        <v>204919.56233089088</v>
      </c>
      <c r="P205" s="191">
        <v>2529390.902251088</v>
      </c>
      <c r="Q205" s="56" t="s">
        <v>25</v>
      </c>
    </row>
    <row r="206" spans="1:17" ht="15.75" customHeight="1">
      <c r="A206" s="43" t="s">
        <v>26</v>
      </c>
      <c r="B206" s="100">
        <f aca="true" t="shared" si="20" ref="B206:B211">SUM(C206:F206)</f>
        <v>485323.06877427007</v>
      </c>
      <c r="C206" s="99">
        <v>238964.55054909</v>
      </c>
      <c r="D206" s="99">
        <v>148455.22659530002</v>
      </c>
      <c r="E206" s="99">
        <v>52028.68817141999</v>
      </c>
      <c r="F206" s="99">
        <v>45874.603458460006</v>
      </c>
      <c r="G206" s="99">
        <v>1218189.0070033486</v>
      </c>
      <c r="H206" s="191">
        <v>702815.0756065263</v>
      </c>
      <c r="I206" s="191">
        <v>99748.65738379</v>
      </c>
      <c r="J206" s="191">
        <v>412907.60414062196</v>
      </c>
      <c r="K206" s="191">
        <v>181478.06733434997</v>
      </c>
      <c r="L206" s="191">
        <v>30391.31937929</v>
      </c>
      <c r="M206" s="99">
        <v>0</v>
      </c>
      <c r="N206" s="191">
        <v>467994.1017269641</v>
      </c>
      <c r="O206" s="191">
        <v>243662.05236571046</v>
      </c>
      <c r="P206" s="191">
        <v>2653694.398070933</v>
      </c>
      <c r="Q206" s="56" t="s">
        <v>26</v>
      </c>
    </row>
    <row r="207" spans="1:17" ht="15.75" customHeight="1">
      <c r="A207" s="43" t="s">
        <v>27</v>
      </c>
      <c r="B207" s="100">
        <f t="shared" si="20"/>
        <v>473219.02987080003</v>
      </c>
      <c r="C207" s="99">
        <v>231707.25142892002</v>
      </c>
      <c r="D207" s="99">
        <v>140957.565153</v>
      </c>
      <c r="E207" s="99">
        <v>48829.48506882</v>
      </c>
      <c r="F207" s="99">
        <v>51724.728220059995</v>
      </c>
      <c r="G207" s="99">
        <v>1293208.862053967</v>
      </c>
      <c r="H207" s="191">
        <v>758827.2334743552</v>
      </c>
      <c r="I207" s="191">
        <v>103876.23352685</v>
      </c>
      <c r="J207" s="191">
        <v>427977.921058422</v>
      </c>
      <c r="K207" s="191">
        <v>201543.92000582</v>
      </c>
      <c r="L207" s="191">
        <v>76678.03454544001</v>
      </c>
      <c r="M207" s="99">
        <v>0</v>
      </c>
      <c r="N207" s="191">
        <v>480596.63056137407</v>
      </c>
      <c r="O207" s="191">
        <v>207502.19229998617</v>
      </c>
      <c r="P207" s="191">
        <v>2758790.5443803878</v>
      </c>
      <c r="Q207" s="56" t="s">
        <v>27</v>
      </c>
    </row>
    <row r="208" spans="1:17" ht="15.75" customHeight="1">
      <c r="A208" s="43" t="s">
        <v>28</v>
      </c>
      <c r="B208" s="100">
        <f t="shared" si="20"/>
        <v>480139.30911056645</v>
      </c>
      <c r="C208" s="99">
        <v>244852.7119399064</v>
      </c>
      <c r="D208" s="99">
        <v>130035.40203697</v>
      </c>
      <c r="E208" s="99">
        <v>46915.158853529996</v>
      </c>
      <c r="F208" s="99">
        <v>58336.036280160006</v>
      </c>
      <c r="G208" s="99">
        <v>1399538.6144057284</v>
      </c>
      <c r="H208" s="191">
        <v>828310.2634905233</v>
      </c>
      <c r="I208" s="191">
        <v>129881.21414442999</v>
      </c>
      <c r="J208" s="191">
        <v>439908.7226920049</v>
      </c>
      <c r="K208" s="191">
        <v>207333.9092908836</v>
      </c>
      <c r="L208" s="191">
        <v>59584.30566871</v>
      </c>
      <c r="M208" s="99">
        <v>36000</v>
      </c>
      <c r="N208" s="191">
        <v>481972.93810222606</v>
      </c>
      <c r="O208" s="191">
        <v>213089.15578969012</v>
      </c>
      <c r="P208" s="191">
        <v>2901164.838410805</v>
      </c>
      <c r="Q208" s="56" t="s">
        <v>28</v>
      </c>
    </row>
    <row r="209" spans="1:17" ht="15.75" customHeight="1">
      <c r="A209" s="43" t="s">
        <v>29</v>
      </c>
      <c r="B209" s="100">
        <f t="shared" si="20"/>
        <v>519925</v>
      </c>
      <c r="C209" s="99">
        <v>254171</v>
      </c>
      <c r="D209" s="99">
        <v>154302</v>
      </c>
      <c r="E209" s="99">
        <v>46515</v>
      </c>
      <c r="F209" s="99">
        <v>64937</v>
      </c>
      <c r="G209" s="99">
        <v>1360244</v>
      </c>
      <c r="H209" s="191">
        <v>786206</v>
      </c>
      <c r="I209" s="191">
        <v>134780</v>
      </c>
      <c r="J209" s="191">
        <v>438646</v>
      </c>
      <c r="K209" s="191">
        <v>179881</v>
      </c>
      <c r="L209" s="191">
        <v>83139</v>
      </c>
      <c r="M209" s="99">
        <v>19174</v>
      </c>
      <c r="N209" s="191">
        <v>475860</v>
      </c>
      <c r="O209" s="191">
        <v>206185</v>
      </c>
      <c r="P209" s="191">
        <v>2866121</v>
      </c>
      <c r="Q209" s="56" t="s">
        <v>29</v>
      </c>
    </row>
    <row r="210" spans="1:17" ht="15.75" customHeight="1">
      <c r="A210" s="43" t="s">
        <v>30</v>
      </c>
      <c r="B210" s="100">
        <f t="shared" si="20"/>
        <v>522034</v>
      </c>
      <c r="C210" s="99">
        <v>235412</v>
      </c>
      <c r="D210" s="99">
        <v>179740</v>
      </c>
      <c r="E210" s="99">
        <v>50569</v>
      </c>
      <c r="F210" s="99">
        <v>56313</v>
      </c>
      <c r="G210" s="99">
        <v>1398030</v>
      </c>
      <c r="H210" s="191">
        <v>810382</v>
      </c>
      <c r="I210" s="191">
        <v>123780</v>
      </c>
      <c r="J210" s="191">
        <v>457236</v>
      </c>
      <c r="K210" s="191">
        <v>184563</v>
      </c>
      <c r="L210" s="191">
        <v>79799</v>
      </c>
      <c r="M210" s="99">
        <v>16552</v>
      </c>
      <c r="N210" s="191">
        <v>491254</v>
      </c>
      <c r="O210" s="191">
        <v>196726</v>
      </c>
      <c r="P210" s="191">
        <v>2907633</v>
      </c>
      <c r="Q210" s="56" t="s">
        <v>30</v>
      </c>
    </row>
    <row r="211" spans="1:17" ht="15.75" customHeight="1">
      <c r="A211" s="43" t="s">
        <v>31</v>
      </c>
      <c r="B211" s="100">
        <f t="shared" si="20"/>
        <v>540387</v>
      </c>
      <c r="C211" s="99">
        <v>236025</v>
      </c>
      <c r="D211" s="99">
        <v>183396</v>
      </c>
      <c r="E211" s="99">
        <v>57062</v>
      </c>
      <c r="F211" s="99">
        <v>63904</v>
      </c>
      <c r="G211" s="99">
        <v>1369084</v>
      </c>
      <c r="H211" s="191">
        <v>770288</v>
      </c>
      <c r="I211" s="191">
        <v>123311</v>
      </c>
      <c r="J211" s="191">
        <v>468792</v>
      </c>
      <c r="K211" s="191">
        <v>221919</v>
      </c>
      <c r="L211" s="191">
        <v>89544</v>
      </c>
      <c r="M211" s="99">
        <v>15500</v>
      </c>
      <c r="N211" s="191">
        <v>498544</v>
      </c>
      <c r="O211" s="191">
        <v>198779</v>
      </c>
      <c r="P211" s="191">
        <v>2979745</v>
      </c>
      <c r="Q211" s="56" t="s">
        <v>31</v>
      </c>
    </row>
    <row r="212" spans="1:17" ht="15.75" customHeight="1">
      <c r="A212" s="43" t="s">
        <v>32</v>
      </c>
      <c r="B212" s="100">
        <f>SUM(C212:F212)</f>
        <v>517468</v>
      </c>
      <c r="C212" s="99">
        <v>205335</v>
      </c>
      <c r="D212" s="99">
        <v>182598</v>
      </c>
      <c r="E212" s="99">
        <v>64233</v>
      </c>
      <c r="F212" s="99">
        <v>65302</v>
      </c>
      <c r="G212" s="99">
        <v>1361127</v>
      </c>
      <c r="H212" s="191">
        <v>752749</v>
      </c>
      <c r="I212" s="191">
        <v>125238</v>
      </c>
      <c r="J212" s="191">
        <v>470168</v>
      </c>
      <c r="K212" s="191">
        <v>241148</v>
      </c>
      <c r="L212" s="191">
        <v>42188</v>
      </c>
      <c r="M212" s="99">
        <v>9797</v>
      </c>
      <c r="N212" s="191">
        <v>499619</v>
      </c>
      <c r="O212" s="191">
        <v>217883</v>
      </c>
      <c r="P212" s="191">
        <v>2929386</v>
      </c>
      <c r="Q212" s="56" t="s">
        <v>32</v>
      </c>
    </row>
    <row r="213" spans="1:17" ht="15.75" customHeight="1">
      <c r="A213" s="43" t="s">
        <v>33</v>
      </c>
      <c r="B213" s="100">
        <f>SUM(C213:F213)</f>
        <v>551926</v>
      </c>
      <c r="C213" s="99">
        <v>231077</v>
      </c>
      <c r="D213" s="99">
        <v>182078</v>
      </c>
      <c r="E213" s="99">
        <v>65552</v>
      </c>
      <c r="F213" s="99">
        <v>73219</v>
      </c>
      <c r="G213" s="99">
        <v>1385264</v>
      </c>
      <c r="H213" s="191">
        <v>776714</v>
      </c>
      <c r="I213" s="191">
        <v>122611</v>
      </c>
      <c r="J213" s="191">
        <v>484084</v>
      </c>
      <c r="K213" s="191">
        <v>190049</v>
      </c>
      <c r="L213" s="191">
        <v>60303</v>
      </c>
      <c r="M213" s="99">
        <v>0</v>
      </c>
      <c r="N213" s="191">
        <v>515174</v>
      </c>
      <c r="O213" s="191">
        <v>215385</v>
      </c>
      <c r="P213" s="191">
        <v>2958019</v>
      </c>
      <c r="Q213" s="56" t="s">
        <v>33</v>
      </c>
    </row>
    <row r="214" spans="1:17" ht="15.75" customHeight="1">
      <c r="A214" s="43" t="s">
        <v>35</v>
      </c>
      <c r="B214" s="100">
        <f>SUM(C214:F214)</f>
        <v>521191</v>
      </c>
      <c r="C214" s="99">
        <v>209812</v>
      </c>
      <c r="D214" s="99">
        <v>162196</v>
      </c>
      <c r="E214" s="99">
        <v>65634</v>
      </c>
      <c r="F214" s="99">
        <v>83549</v>
      </c>
      <c r="G214" s="99">
        <v>1459830.287552175</v>
      </c>
      <c r="H214" s="191">
        <v>834949</v>
      </c>
      <c r="I214" s="191">
        <v>141143</v>
      </c>
      <c r="J214" s="191">
        <v>481331</v>
      </c>
      <c r="K214" s="191">
        <v>210697</v>
      </c>
      <c r="L214" s="191">
        <v>66049</v>
      </c>
      <c r="M214" s="99">
        <v>11378</v>
      </c>
      <c r="N214" s="191">
        <v>526858</v>
      </c>
      <c r="O214" s="191">
        <v>233057</v>
      </c>
      <c r="P214" s="191">
        <v>3044010.5408088043</v>
      </c>
      <c r="Q214" s="56" t="s">
        <v>35</v>
      </c>
    </row>
    <row r="215" spans="1:17" ht="15.75" customHeight="1">
      <c r="A215" s="43" t="s">
        <v>36</v>
      </c>
      <c r="B215" s="100">
        <f>SUM(C215:F215)</f>
        <v>537079</v>
      </c>
      <c r="C215" s="99">
        <v>213074</v>
      </c>
      <c r="D215" s="99">
        <v>166838</v>
      </c>
      <c r="E215" s="99">
        <v>73868</v>
      </c>
      <c r="F215" s="99">
        <v>83299</v>
      </c>
      <c r="G215" s="99">
        <v>1472529.8860278009</v>
      </c>
      <c r="H215" s="191">
        <v>840553</v>
      </c>
      <c r="I215" s="191">
        <v>138713</v>
      </c>
      <c r="J215" s="191">
        <v>491130</v>
      </c>
      <c r="K215" s="191">
        <v>224283</v>
      </c>
      <c r="L215" s="191">
        <v>80341</v>
      </c>
      <c r="M215" s="99">
        <v>6460</v>
      </c>
      <c r="N215" s="191">
        <v>534729</v>
      </c>
      <c r="O215" s="191">
        <v>234203</v>
      </c>
      <c r="P215" s="191">
        <v>3115630.7170479284</v>
      </c>
      <c r="Q215" s="56" t="s">
        <v>36</v>
      </c>
    </row>
    <row r="216" spans="1:17" ht="15.75" customHeight="1">
      <c r="A216" s="43" t="s">
        <v>37</v>
      </c>
      <c r="B216" s="100">
        <f>SUM(C216:F216)</f>
        <v>526779</v>
      </c>
      <c r="C216" s="99">
        <v>227122</v>
      </c>
      <c r="D216" s="99">
        <v>159942</v>
      </c>
      <c r="E216" s="99">
        <v>68066</v>
      </c>
      <c r="F216" s="99">
        <v>71649</v>
      </c>
      <c r="G216" s="99">
        <v>1508375.5538157402</v>
      </c>
      <c r="H216" s="191">
        <v>851479</v>
      </c>
      <c r="I216" s="191">
        <v>138734</v>
      </c>
      <c r="J216" s="191">
        <v>515694</v>
      </c>
      <c r="K216" s="191">
        <v>239207</v>
      </c>
      <c r="L216" s="191">
        <v>73842</v>
      </c>
      <c r="M216" s="99">
        <v>0</v>
      </c>
      <c r="N216" s="191">
        <v>532898</v>
      </c>
      <c r="O216" s="191">
        <v>219664</v>
      </c>
      <c r="P216" s="191">
        <v>3115542.104147948</v>
      </c>
      <c r="Q216" s="56" t="s">
        <v>37</v>
      </c>
    </row>
    <row r="217" spans="1:17" ht="15.75" customHeight="1">
      <c r="A217" s="43"/>
      <c r="B217" s="100"/>
      <c r="C217" s="99"/>
      <c r="D217" s="99"/>
      <c r="E217" s="99"/>
      <c r="F217" s="99"/>
      <c r="G217" s="99"/>
      <c r="H217" s="191"/>
      <c r="I217" s="191"/>
      <c r="J217" s="191"/>
      <c r="K217" s="191"/>
      <c r="L217" s="191"/>
      <c r="M217" s="99"/>
      <c r="N217" s="191"/>
      <c r="O217" s="191"/>
      <c r="P217" s="191"/>
      <c r="Q217" s="56"/>
    </row>
    <row r="218" spans="1:17" ht="15.75" customHeight="1">
      <c r="A218" s="43">
        <v>2012</v>
      </c>
      <c r="B218" s="100"/>
      <c r="C218" s="99"/>
      <c r="D218" s="99"/>
      <c r="E218" s="99"/>
      <c r="F218" s="99"/>
      <c r="G218" s="99"/>
      <c r="H218" s="191"/>
      <c r="I218" s="191"/>
      <c r="J218" s="191"/>
      <c r="K218" s="191"/>
      <c r="L218" s="191"/>
      <c r="M218" s="99"/>
      <c r="N218" s="191"/>
      <c r="O218" s="191"/>
      <c r="P218" s="191"/>
      <c r="Q218" s="43">
        <v>2012</v>
      </c>
    </row>
    <row r="219" spans="1:17" s="169" customFormat="1" ht="15.75" customHeight="1">
      <c r="A219" s="43" t="s">
        <v>25</v>
      </c>
      <c r="B219" s="100">
        <f aca="true" t="shared" si="21" ref="B219:B227">SUM(C219:F219)</f>
        <v>503732</v>
      </c>
      <c r="C219" s="99">
        <v>223694</v>
      </c>
      <c r="D219" s="99">
        <v>143724</v>
      </c>
      <c r="E219" s="99">
        <v>68637</v>
      </c>
      <c r="F219" s="99">
        <v>67677</v>
      </c>
      <c r="G219" s="99">
        <v>1499427</v>
      </c>
      <c r="H219" s="191">
        <v>854615</v>
      </c>
      <c r="I219" s="191">
        <v>141066</v>
      </c>
      <c r="J219" s="191">
        <v>501448</v>
      </c>
      <c r="K219" s="191">
        <v>218701</v>
      </c>
      <c r="L219" s="191">
        <v>56606</v>
      </c>
      <c r="M219" s="99">
        <v>0</v>
      </c>
      <c r="N219" s="191">
        <v>550005</v>
      </c>
      <c r="O219" s="191">
        <v>253650</v>
      </c>
      <c r="P219" s="191">
        <v>3098498</v>
      </c>
      <c r="Q219" s="56" t="s">
        <v>25</v>
      </c>
    </row>
    <row r="220" spans="1:17" s="169" customFormat="1" ht="15.75" customHeight="1">
      <c r="A220" s="43" t="s">
        <v>26</v>
      </c>
      <c r="B220" s="100">
        <f t="shared" si="21"/>
        <v>533588</v>
      </c>
      <c r="C220" s="99">
        <v>221039</v>
      </c>
      <c r="D220" s="99">
        <v>169209</v>
      </c>
      <c r="E220" s="99">
        <v>72365</v>
      </c>
      <c r="F220" s="99">
        <v>70975</v>
      </c>
      <c r="G220" s="99">
        <v>1473738</v>
      </c>
      <c r="H220" s="191">
        <v>809949</v>
      </c>
      <c r="I220" s="191">
        <v>152418</v>
      </c>
      <c r="J220" s="191">
        <v>509088</v>
      </c>
      <c r="K220" s="191">
        <v>230693</v>
      </c>
      <c r="L220" s="191">
        <v>64475</v>
      </c>
      <c r="M220" s="99">
        <v>0</v>
      </c>
      <c r="N220" s="191">
        <v>556364</v>
      </c>
      <c r="O220" s="191">
        <v>351047</v>
      </c>
      <c r="P220" s="191">
        <v>3232749</v>
      </c>
      <c r="Q220" s="56" t="s">
        <v>26</v>
      </c>
    </row>
    <row r="221" spans="1:17" ht="15.75" customHeight="1">
      <c r="A221" s="43" t="s">
        <v>27</v>
      </c>
      <c r="B221" s="100">
        <f t="shared" si="21"/>
        <v>541613</v>
      </c>
      <c r="C221" s="99">
        <v>242395</v>
      </c>
      <c r="D221" s="99">
        <v>165156</v>
      </c>
      <c r="E221" s="99">
        <v>70802</v>
      </c>
      <c r="F221" s="99">
        <v>63260</v>
      </c>
      <c r="G221" s="99">
        <v>1519023</v>
      </c>
      <c r="H221" s="191">
        <v>849666</v>
      </c>
      <c r="I221" s="191">
        <v>143211</v>
      </c>
      <c r="J221" s="191">
        <v>524860</v>
      </c>
      <c r="K221" s="191">
        <v>237087</v>
      </c>
      <c r="L221" s="191">
        <v>67899</v>
      </c>
      <c r="M221" s="99">
        <v>0</v>
      </c>
      <c r="N221" s="191">
        <v>547530</v>
      </c>
      <c r="O221" s="191">
        <v>247601</v>
      </c>
      <c r="P221" s="191">
        <v>3174196</v>
      </c>
      <c r="Q221" s="56" t="s">
        <v>27</v>
      </c>
    </row>
    <row r="222" spans="1:17" ht="15.75" customHeight="1">
      <c r="A222" s="43" t="s">
        <v>28</v>
      </c>
      <c r="B222" s="100">
        <f t="shared" si="21"/>
        <v>596665</v>
      </c>
      <c r="C222" s="99">
        <v>267458</v>
      </c>
      <c r="D222" s="99">
        <v>178641</v>
      </c>
      <c r="E222" s="99">
        <v>80438</v>
      </c>
      <c r="F222" s="99">
        <v>70128</v>
      </c>
      <c r="G222" s="99">
        <v>1569576</v>
      </c>
      <c r="H222" s="191">
        <v>896326</v>
      </c>
      <c r="I222" s="191">
        <v>138714</v>
      </c>
      <c r="J222" s="191">
        <v>532895</v>
      </c>
      <c r="K222" s="191">
        <v>269575</v>
      </c>
      <c r="L222" s="191">
        <v>88636</v>
      </c>
      <c r="M222" s="99">
        <v>0</v>
      </c>
      <c r="N222" s="191">
        <v>565900</v>
      </c>
      <c r="O222" s="191">
        <v>228252</v>
      </c>
      <c r="P222" s="191">
        <v>3336401</v>
      </c>
      <c r="Q222" s="56" t="s">
        <v>28</v>
      </c>
    </row>
    <row r="223" spans="1:17" ht="15.75" customHeight="1">
      <c r="A223" s="43" t="s">
        <v>29</v>
      </c>
      <c r="B223" s="100">
        <f t="shared" si="21"/>
        <v>535068</v>
      </c>
      <c r="C223" s="99">
        <v>259365</v>
      </c>
      <c r="D223" s="99">
        <v>152431</v>
      </c>
      <c r="E223" s="99">
        <v>68517</v>
      </c>
      <c r="F223" s="99">
        <v>54755</v>
      </c>
      <c r="G223" s="99">
        <v>1557236</v>
      </c>
      <c r="H223" s="191">
        <v>842648</v>
      </c>
      <c r="I223" s="191">
        <v>164937</v>
      </c>
      <c r="J223" s="191">
        <v>548322</v>
      </c>
      <c r="K223" s="191">
        <v>238989</v>
      </c>
      <c r="L223" s="191">
        <v>55797</v>
      </c>
      <c r="M223" s="99">
        <v>0</v>
      </c>
      <c r="N223" s="191">
        <v>587963</v>
      </c>
      <c r="O223" s="191">
        <v>268002</v>
      </c>
      <c r="P223" s="191">
        <v>3261051</v>
      </c>
      <c r="Q223" s="56" t="s">
        <v>29</v>
      </c>
    </row>
    <row r="224" spans="1:17" s="189" customFormat="1" ht="15.75" customHeight="1">
      <c r="A224" s="43" t="s">
        <v>30</v>
      </c>
      <c r="B224" s="100">
        <f t="shared" si="21"/>
        <v>549179</v>
      </c>
      <c r="C224" s="99">
        <v>267686</v>
      </c>
      <c r="D224" s="99">
        <v>158199</v>
      </c>
      <c r="E224" s="99">
        <v>66796</v>
      </c>
      <c r="F224" s="99">
        <v>56498</v>
      </c>
      <c r="G224" s="99">
        <v>1510090</v>
      </c>
      <c r="H224" s="191">
        <v>778692</v>
      </c>
      <c r="I224" s="191">
        <v>165618</v>
      </c>
      <c r="J224" s="191">
        <v>564612</v>
      </c>
      <c r="K224" s="191">
        <v>250013</v>
      </c>
      <c r="L224" s="191">
        <v>50970</v>
      </c>
      <c r="M224" s="99">
        <v>15814</v>
      </c>
      <c r="N224" s="191">
        <v>588148</v>
      </c>
      <c r="O224" s="191">
        <v>218371</v>
      </c>
      <c r="P224" s="191">
        <v>3231528</v>
      </c>
      <c r="Q224" s="56" t="s">
        <v>30</v>
      </c>
    </row>
    <row r="225" spans="1:17" ht="15.75" customHeight="1">
      <c r="A225" s="43" t="s">
        <v>31</v>
      </c>
      <c r="B225" s="100">
        <f t="shared" si="21"/>
        <v>552783.7287489895</v>
      </c>
      <c r="C225" s="99">
        <v>249468.51823878952</v>
      </c>
      <c r="D225" s="99">
        <v>168858.88996225</v>
      </c>
      <c r="E225" s="99">
        <v>74071.64940269</v>
      </c>
      <c r="F225" s="99">
        <v>60384.67114526001</v>
      </c>
      <c r="G225" s="99">
        <v>1609492.0787405877</v>
      </c>
      <c r="H225" s="191">
        <v>835834.8432324715</v>
      </c>
      <c r="I225" s="191">
        <v>183470.25931689</v>
      </c>
      <c r="J225" s="191">
        <v>588474.7588430961</v>
      </c>
      <c r="K225" s="191">
        <v>222079.77643460402</v>
      </c>
      <c r="L225" s="191">
        <v>58542.56543529002</v>
      </c>
      <c r="M225" s="99">
        <v>0</v>
      </c>
      <c r="N225" s="191">
        <v>585030.2707981478</v>
      </c>
      <c r="O225" s="191">
        <v>240795.90929195468</v>
      </c>
      <c r="P225" s="191">
        <v>3286165.250379334</v>
      </c>
      <c r="Q225" s="56" t="s">
        <v>31</v>
      </c>
    </row>
    <row r="226" spans="1:17" ht="15.75" customHeight="1">
      <c r="A226" s="43" t="s">
        <v>32</v>
      </c>
      <c r="B226" s="100">
        <f t="shared" si="21"/>
        <v>551576.033078536</v>
      </c>
      <c r="C226" s="99">
        <v>244871.21500027605</v>
      </c>
      <c r="D226" s="99">
        <v>173888.92684872996</v>
      </c>
      <c r="E226" s="99">
        <v>71087.11222872001</v>
      </c>
      <c r="F226" s="99">
        <v>61728.77900080999</v>
      </c>
      <c r="G226" s="99">
        <v>1682357.1439161168</v>
      </c>
      <c r="H226" s="191">
        <v>864253.3654014118</v>
      </c>
      <c r="I226" s="191">
        <v>223285.59259710996</v>
      </c>
      <c r="J226" s="191">
        <v>593269.6037903948</v>
      </c>
      <c r="K226" s="191">
        <v>211836.779537667</v>
      </c>
      <c r="L226" s="191">
        <v>48960.10205261999</v>
      </c>
      <c r="M226" s="99">
        <v>19500</v>
      </c>
      <c r="N226" s="191">
        <v>589907.1695156303</v>
      </c>
      <c r="O226" s="191">
        <v>245745.35430683833</v>
      </c>
      <c r="P226" s="191">
        <v>3379701.8900815183</v>
      </c>
      <c r="Q226" s="56" t="s">
        <v>32</v>
      </c>
    </row>
    <row r="227" spans="1:17" ht="15.75" customHeight="1">
      <c r="A227" s="43" t="s">
        <v>33</v>
      </c>
      <c r="B227" s="100">
        <f t="shared" si="21"/>
        <v>563042.2349592353</v>
      </c>
      <c r="C227" s="99">
        <v>240077.4763328653</v>
      </c>
      <c r="D227" s="99">
        <v>185137.87511707004</v>
      </c>
      <c r="E227" s="99">
        <v>73648.6472656</v>
      </c>
      <c r="F227" s="99">
        <v>64178.2362437</v>
      </c>
      <c r="G227" s="99">
        <v>1705959.0150367394</v>
      </c>
      <c r="H227" s="191">
        <v>879346.9985330218</v>
      </c>
      <c r="I227" s="191">
        <v>221325.68241021</v>
      </c>
      <c r="J227" s="191">
        <v>603864.4044139676</v>
      </c>
      <c r="K227" s="191">
        <v>244676.81308839907</v>
      </c>
      <c r="L227" s="191">
        <v>55915.765971500005</v>
      </c>
      <c r="M227" s="99">
        <v>0</v>
      </c>
      <c r="N227" s="191">
        <v>602371.0621398469</v>
      </c>
      <c r="O227" s="191">
        <v>243836.14757486305</v>
      </c>
      <c r="P227" s="191">
        <v>3451438.217728583</v>
      </c>
      <c r="Q227" s="56" t="s">
        <v>33</v>
      </c>
    </row>
    <row r="228" spans="1:17" ht="15.75" customHeight="1">
      <c r="A228" s="43" t="s">
        <v>35</v>
      </c>
      <c r="B228" s="100">
        <f aca="true" t="shared" si="22" ref="B228:B235">SUM(C228:F228)</f>
        <v>600048</v>
      </c>
      <c r="C228" s="99">
        <v>271843</v>
      </c>
      <c r="D228" s="99">
        <v>176905</v>
      </c>
      <c r="E228" s="99">
        <v>80296</v>
      </c>
      <c r="F228" s="99">
        <v>71004</v>
      </c>
      <c r="G228" s="99">
        <v>1837607</v>
      </c>
      <c r="H228" s="191">
        <v>934453</v>
      </c>
      <c r="I228" s="191">
        <v>259415</v>
      </c>
      <c r="J228" s="191">
        <v>640648</v>
      </c>
      <c r="K228" s="191">
        <v>257011</v>
      </c>
      <c r="L228" s="191">
        <v>54978</v>
      </c>
      <c r="M228" s="99">
        <v>0</v>
      </c>
      <c r="N228" s="191">
        <v>598823</v>
      </c>
      <c r="O228" s="191">
        <v>261106</v>
      </c>
      <c r="P228" s="191">
        <v>3645209</v>
      </c>
      <c r="Q228" s="56" t="s">
        <v>35</v>
      </c>
    </row>
    <row r="229" spans="1:17" ht="15.75" customHeight="1">
      <c r="A229" s="43" t="s">
        <v>36</v>
      </c>
      <c r="B229" s="100">
        <f t="shared" si="22"/>
        <v>578909.5336668921</v>
      </c>
      <c r="C229" s="99">
        <v>240921.63535256268</v>
      </c>
      <c r="D229" s="99">
        <v>177051.38536991982</v>
      </c>
      <c r="E229" s="99">
        <v>89184.62152054</v>
      </c>
      <c r="F229" s="99">
        <v>71751.89142386967</v>
      </c>
      <c r="G229" s="99">
        <v>1893398.6139512688</v>
      </c>
      <c r="H229" s="191">
        <v>968621.3061972517</v>
      </c>
      <c r="I229" s="191">
        <v>262960.82638298</v>
      </c>
      <c r="J229" s="191">
        <v>659638.555778957</v>
      </c>
      <c r="K229" s="191">
        <v>275880.96223541297</v>
      </c>
      <c r="L229" s="191">
        <v>57858.43577193999</v>
      </c>
      <c r="M229" s="99">
        <v>0</v>
      </c>
      <c r="N229" s="191">
        <v>610552.7758977684</v>
      </c>
      <c r="O229" s="191">
        <v>269225.4194946495</v>
      </c>
      <c r="P229" s="191">
        <v>3697570.919975932</v>
      </c>
      <c r="Q229" s="56" t="s">
        <v>36</v>
      </c>
    </row>
    <row r="230" spans="1:17" ht="15.75" customHeight="1">
      <c r="A230" s="43" t="s">
        <v>37</v>
      </c>
      <c r="B230" s="100">
        <f t="shared" si="22"/>
        <v>597098.7727338069</v>
      </c>
      <c r="C230" s="99">
        <v>265466.08318647125</v>
      </c>
      <c r="D230" s="99">
        <v>178936.741874901</v>
      </c>
      <c r="E230" s="99">
        <v>80892.65465927</v>
      </c>
      <c r="F230" s="99">
        <v>71803.29301316469</v>
      </c>
      <c r="G230" s="99">
        <v>1939374.70300733</v>
      </c>
      <c r="H230" s="191">
        <v>1029055.8777270676</v>
      </c>
      <c r="I230" s="191">
        <v>246535.52962535</v>
      </c>
      <c r="J230" s="191">
        <v>661828.5854094673</v>
      </c>
      <c r="K230" s="191">
        <v>275106.386668106</v>
      </c>
      <c r="L230" s="191">
        <v>48347.52836577</v>
      </c>
      <c r="M230" s="99">
        <v>0</v>
      </c>
      <c r="N230" s="191">
        <v>621640.0354259532</v>
      </c>
      <c r="O230" s="191">
        <v>248493.46771364418</v>
      </c>
      <c r="P230" s="191">
        <v>3740973.3881731154</v>
      </c>
      <c r="Q230" s="56" t="s">
        <v>37</v>
      </c>
    </row>
    <row r="231" spans="2:13" ht="15.75" customHeight="1">
      <c r="B231" s="100"/>
      <c r="G231" s="128"/>
      <c r="M231" s="128"/>
    </row>
    <row r="232" spans="1:17" s="227" customFormat="1" ht="15.75" customHeight="1">
      <c r="A232" s="43">
        <v>2013</v>
      </c>
      <c r="B232" s="100"/>
      <c r="G232" s="222"/>
      <c r="H232" s="222"/>
      <c r="I232" s="222"/>
      <c r="J232" s="222"/>
      <c r="K232" s="222"/>
      <c r="L232" s="222"/>
      <c r="M232" s="222"/>
      <c r="N232" s="222"/>
      <c r="O232" s="222"/>
      <c r="P232" s="128"/>
      <c r="Q232" s="43">
        <v>2013</v>
      </c>
    </row>
    <row r="233" spans="1:17" s="227" customFormat="1" ht="15.75" customHeight="1">
      <c r="A233" s="43" t="s">
        <v>25</v>
      </c>
      <c r="B233" s="100">
        <f t="shared" si="22"/>
        <v>599957</v>
      </c>
      <c r="C233" s="128">
        <v>278140</v>
      </c>
      <c r="D233" s="154">
        <v>169320</v>
      </c>
      <c r="E233" s="128">
        <v>70155</v>
      </c>
      <c r="F233" s="128">
        <v>82342</v>
      </c>
      <c r="G233" s="99">
        <v>1958572</v>
      </c>
      <c r="H233" s="191">
        <v>1020565</v>
      </c>
      <c r="I233" s="191">
        <v>268955</v>
      </c>
      <c r="J233" s="191">
        <v>667213</v>
      </c>
      <c r="K233" s="128">
        <v>255415</v>
      </c>
      <c r="L233" s="128">
        <v>32835</v>
      </c>
      <c r="M233" s="154">
        <v>0</v>
      </c>
      <c r="N233" s="191">
        <v>630993</v>
      </c>
      <c r="O233" s="191">
        <v>272396</v>
      </c>
      <c r="P233" s="191">
        <v>3761079</v>
      </c>
      <c r="Q233" s="43" t="s">
        <v>25</v>
      </c>
    </row>
    <row r="234" spans="1:17" s="227" customFormat="1" ht="15.75" customHeight="1">
      <c r="A234" s="43" t="s">
        <v>26</v>
      </c>
      <c r="B234" s="100">
        <f t="shared" si="22"/>
        <v>641321</v>
      </c>
      <c r="C234" s="128">
        <v>295662</v>
      </c>
      <c r="D234" s="154">
        <v>188902</v>
      </c>
      <c r="E234" s="128">
        <v>70528</v>
      </c>
      <c r="F234" s="128">
        <v>86229</v>
      </c>
      <c r="G234" s="99">
        <v>1890429</v>
      </c>
      <c r="H234" s="191">
        <v>957611</v>
      </c>
      <c r="I234" s="191">
        <v>271749</v>
      </c>
      <c r="J234" s="191">
        <v>658875</v>
      </c>
      <c r="K234" s="128">
        <v>294370</v>
      </c>
      <c r="L234" s="128">
        <v>83517</v>
      </c>
      <c r="M234" s="154">
        <v>0</v>
      </c>
      <c r="N234" s="191">
        <v>639858</v>
      </c>
      <c r="O234" s="191">
        <v>285380</v>
      </c>
      <c r="P234" s="191">
        <v>3845787</v>
      </c>
      <c r="Q234" s="43" t="s">
        <v>26</v>
      </c>
    </row>
    <row r="235" spans="1:17" s="227" customFormat="1" ht="15.75" customHeight="1">
      <c r="A235" s="43" t="s">
        <v>27</v>
      </c>
      <c r="B235" s="100">
        <f t="shared" si="22"/>
        <v>607500</v>
      </c>
      <c r="C235" s="128">
        <v>271933</v>
      </c>
      <c r="D235" s="154">
        <v>184894</v>
      </c>
      <c r="E235" s="128">
        <v>85781</v>
      </c>
      <c r="F235" s="128">
        <v>64892</v>
      </c>
      <c r="G235" s="99">
        <v>1972916</v>
      </c>
      <c r="H235" s="191">
        <v>996755</v>
      </c>
      <c r="I235" s="191">
        <v>299127</v>
      </c>
      <c r="J235" s="191">
        <v>674906</v>
      </c>
      <c r="K235" s="128">
        <v>281067</v>
      </c>
      <c r="L235" s="128">
        <v>111339</v>
      </c>
      <c r="M235" s="154">
        <v>0</v>
      </c>
      <c r="N235" s="191">
        <v>646226</v>
      </c>
      <c r="O235" s="191">
        <v>266760</v>
      </c>
      <c r="P235" s="191">
        <v>3898113</v>
      </c>
      <c r="Q235" s="43" t="s">
        <v>27</v>
      </c>
    </row>
    <row r="236" spans="1:17" ht="15.75" customHeight="1">
      <c r="A236" s="64" t="s">
        <v>28</v>
      </c>
      <c r="B236" s="100">
        <f aca="true" t="shared" si="23" ref="B236:B242">SUM(C236:F236)</f>
        <v>657336</v>
      </c>
      <c r="C236" s="128">
        <v>314989</v>
      </c>
      <c r="D236" s="154">
        <v>188193</v>
      </c>
      <c r="E236" s="128">
        <v>79375</v>
      </c>
      <c r="F236" s="128">
        <v>74779</v>
      </c>
      <c r="G236" s="99">
        <v>1905151</v>
      </c>
      <c r="H236" s="191">
        <v>934758</v>
      </c>
      <c r="I236" s="191">
        <v>294499</v>
      </c>
      <c r="J236" s="191">
        <v>669368</v>
      </c>
      <c r="K236" s="128">
        <v>341616</v>
      </c>
      <c r="L236" s="128">
        <v>87106</v>
      </c>
      <c r="M236" s="154">
        <v>0</v>
      </c>
      <c r="N236" s="191">
        <v>652339</v>
      </c>
      <c r="O236" s="191">
        <v>268607</v>
      </c>
      <c r="P236" s="191">
        <v>3932410</v>
      </c>
      <c r="Q236" s="64" t="s">
        <v>28</v>
      </c>
    </row>
    <row r="237" spans="1:17" ht="15.75" customHeight="1">
      <c r="A237" s="64" t="s">
        <v>29</v>
      </c>
      <c r="B237" s="100">
        <f t="shared" si="23"/>
        <v>649493</v>
      </c>
      <c r="C237" s="128">
        <v>297815</v>
      </c>
      <c r="D237" s="154">
        <v>180896</v>
      </c>
      <c r="E237" s="128">
        <v>73594</v>
      </c>
      <c r="F237" s="128">
        <v>97188</v>
      </c>
      <c r="G237" s="99">
        <v>1904119</v>
      </c>
      <c r="H237" s="191">
        <v>893275</v>
      </c>
      <c r="I237" s="191">
        <v>324009</v>
      </c>
      <c r="J237" s="191">
        <v>683946</v>
      </c>
      <c r="K237" s="128">
        <v>352605</v>
      </c>
      <c r="L237" s="128">
        <v>62376</v>
      </c>
      <c r="M237" s="154">
        <v>0</v>
      </c>
      <c r="N237" s="191">
        <v>664775</v>
      </c>
      <c r="O237" s="191">
        <v>274508</v>
      </c>
      <c r="P237" s="191">
        <v>3927398</v>
      </c>
      <c r="Q237" s="64" t="s">
        <v>29</v>
      </c>
    </row>
    <row r="238" spans="1:17" ht="15.75" customHeight="1">
      <c r="A238" s="64" t="s">
        <v>30</v>
      </c>
      <c r="B238" s="100">
        <f t="shared" si="23"/>
        <v>683598</v>
      </c>
      <c r="C238" s="128">
        <v>314305</v>
      </c>
      <c r="D238" s="154">
        <v>178308</v>
      </c>
      <c r="E238" s="128">
        <v>77561</v>
      </c>
      <c r="F238" s="128">
        <v>113424</v>
      </c>
      <c r="G238" s="99">
        <v>1919135</v>
      </c>
      <c r="H238" s="191">
        <v>915161</v>
      </c>
      <c r="I238" s="191">
        <v>308400</v>
      </c>
      <c r="J238" s="191">
        <v>693147</v>
      </c>
      <c r="K238" s="128">
        <v>365391</v>
      </c>
      <c r="L238" s="128">
        <v>93355</v>
      </c>
      <c r="M238" s="154">
        <v>0</v>
      </c>
      <c r="N238" s="191">
        <v>656056</v>
      </c>
      <c r="O238" s="191">
        <v>295610</v>
      </c>
      <c r="P238" s="191">
        <v>4030921</v>
      </c>
      <c r="Q238" s="64" t="s">
        <v>30</v>
      </c>
    </row>
    <row r="239" spans="1:17" s="126" customFormat="1" ht="15.75" customHeight="1">
      <c r="A239" s="89" t="s">
        <v>31</v>
      </c>
      <c r="B239" s="133">
        <f t="shared" si="23"/>
        <v>679781</v>
      </c>
      <c r="C239" s="156">
        <v>339491</v>
      </c>
      <c r="D239" s="192">
        <v>187534</v>
      </c>
      <c r="E239" s="156">
        <v>76480</v>
      </c>
      <c r="F239" s="156">
        <v>76276</v>
      </c>
      <c r="G239" s="99">
        <v>1997263</v>
      </c>
      <c r="H239" s="191">
        <v>993704</v>
      </c>
      <c r="I239" s="191">
        <v>306176</v>
      </c>
      <c r="J239" s="191">
        <v>694018</v>
      </c>
      <c r="K239" s="156">
        <v>414321</v>
      </c>
      <c r="L239" s="156">
        <v>81864</v>
      </c>
      <c r="M239" s="192">
        <v>0</v>
      </c>
      <c r="N239" s="191">
        <v>682353</v>
      </c>
      <c r="O239" s="191">
        <v>295791</v>
      </c>
      <c r="P239" s="191">
        <v>4168971</v>
      </c>
      <c r="Q239" s="89" t="s">
        <v>31</v>
      </c>
    </row>
    <row r="240" spans="1:17" s="126" customFormat="1" ht="15.75" customHeight="1">
      <c r="A240" s="89" t="s">
        <v>32</v>
      </c>
      <c r="B240" s="133">
        <f t="shared" si="23"/>
        <v>662592</v>
      </c>
      <c r="C240" s="156">
        <v>321471</v>
      </c>
      <c r="D240" s="192">
        <v>175993</v>
      </c>
      <c r="E240" s="156">
        <v>80912</v>
      </c>
      <c r="F240" s="156">
        <v>84216</v>
      </c>
      <c r="G240" s="99">
        <v>2008892</v>
      </c>
      <c r="H240" s="191">
        <v>954583</v>
      </c>
      <c r="I240" s="191">
        <v>310887</v>
      </c>
      <c r="J240" s="191">
        <v>721904</v>
      </c>
      <c r="K240" s="156">
        <v>433108</v>
      </c>
      <c r="L240" s="156">
        <v>86892</v>
      </c>
      <c r="M240" s="192">
        <v>0</v>
      </c>
      <c r="N240" s="191">
        <v>687871</v>
      </c>
      <c r="O240" s="191">
        <v>317472</v>
      </c>
      <c r="P240" s="191">
        <v>4213491</v>
      </c>
      <c r="Q240" s="89" t="s">
        <v>32</v>
      </c>
    </row>
    <row r="241" spans="1:17" s="126" customFormat="1" ht="15.75" customHeight="1">
      <c r="A241" s="89" t="s">
        <v>33</v>
      </c>
      <c r="B241" s="133">
        <f t="shared" si="23"/>
        <v>719577</v>
      </c>
      <c r="C241" s="156">
        <v>351715</v>
      </c>
      <c r="D241" s="192">
        <v>193040</v>
      </c>
      <c r="E241" s="156">
        <v>87988</v>
      </c>
      <c r="F241" s="156">
        <v>86834</v>
      </c>
      <c r="G241" s="99">
        <v>1977947</v>
      </c>
      <c r="H241" s="191">
        <v>969408</v>
      </c>
      <c r="I241" s="191">
        <v>285229</v>
      </c>
      <c r="J241" s="191">
        <v>721157</v>
      </c>
      <c r="K241" s="156">
        <v>459892</v>
      </c>
      <c r="L241" s="156">
        <v>94723</v>
      </c>
      <c r="M241" s="192">
        <v>0</v>
      </c>
      <c r="N241" s="191">
        <v>684249</v>
      </c>
      <c r="O241" s="191">
        <v>310763</v>
      </c>
      <c r="P241" s="191">
        <v>4263955</v>
      </c>
      <c r="Q241" s="89" t="s">
        <v>33</v>
      </c>
    </row>
    <row r="242" spans="1:17" s="126" customFormat="1" ht="15.75" customHeight="1">
      <c r="A242" s="89" t="s">
        <v>35</v>
      </c>
      <c r="B242" s="133">
        <f t="shared" si="23"/>
        <v>725965</v>
      </c>
      <c r="C242" s="156">
        <v>355946</v>
      </c>
      <c r="D242" s="192">
        <v>192819</v>
      </c>
      <c r="E242" s="156">
        <v>84733</v>
      </c>
      <c r="F242" s="156">
        <v>92467</v>
      </c>
      <c r="G242" s="99">
        <v>2002589</v>
      </c>
      <c r="H242" s="191">
        <v>955215</v>
      </c>
      <c r="I242" s="191">
        <v>282573</v>
      </c>
      <c r="J242" s="191">
        <v>762782</v>
      </c>
      <c r="K242" s="156">
        <v>450475</v>
      </c>
      <c r="L242" s="156">
        <v>115819</v>
      </c>
      <c r="M242" s="99">
        <v>0</v>
      </c>
      <c r="N242" s="191">
        <v>692608</v>
      </c>
      <c r="O242" s="191">
        <v>319769</v>
      </c>
      <c r="P242" s="191">
        <v>4324038</v>
      </c>
      <c r="Q242" s="89" t="s">
        <v>35</v>
      </c>
    </row>
    <row r="243" spans="1:17" s="189" customFormat="1" ht="15.75" customHeight="1">
      <c r="A243" s="89" t="s">
        <v>36</v>
      </c>
      <c r="B243" s="133">
        <f>SUM(C243:F243)</f>
        <v>741577</v>
      </c>
      <c r="C243" s="156">
        <v>353890</v>
      </c>
      <c r="D243" s="192">
        <v>200402</v>
      </c>
      <c r="E243" s="156">
        <v>89566</v>
      </c>
      <c r="F243" s="156">
        <v>97719</v>
      </c>
      <c r="G243" s="99">
        <v>2040393</v>
      </c>
      <c r="H243" s="191">
        <v>995598</v>
      </c>
      <c r="I243" s="191">
        <v>275151</v>
      </c>
      <c r="J243" s="191">
        <v>766781</v>
      </c>
      <c r="K243" s="156">
        <v>450713</v>
      </c>
      <c r="L243" s="156">
        <v>124360</v>
      </c>
      <c r="M243" s="99">
        <v>0</v>
      </c>
      <c r="N243" s="191">
        <v>705360</v>
      </c>
      <c r="O243" s="191">
        <v>317445</v>
      </c>
      <c r="P243" s="191">
        <v>4396849</v>
      </c>
      <c r="Q243" s="89" t="s">
        <v>36</v>
      </c>
    </row>
    <row r="244" spans="1:17" s="189" customFormat="1" ht="15.75" customHeight="1">
      <c r="A244" s="89" t="s">
        <v>37</v>
      </c>
      <c r="B244" s="133">
        <f>SUM(C244:F244)</f>
        <v>738823</v>
      </c>
      <c r="C244" s="156">
        <v>344510</v>
      </c>
      <c r="D244" s="192">
        <v>208375</v>
      </c>
      <c r="E244" s="156">
        <v>96223</v>
      </c>
      <c r="F244" s="156">
        <v>89715</v>
      </c>
      <c r="G244" s="99">
        <v>2166721</v>
      </c>
      <c r="H244" s="191">
        <v>1084478</v>
      </c>
      <c r="I244" s="191">
        <v>296001</v>
      </c>
      <c r="J244" s="191">
        <v>784171</v>
      </c>
      <c r="K244" s="156">
        <v>503163</v>
      </c>
      <c r="L244" s="156">
        <v>118715</v>
      </c>
      <c r="M244" s="99">
        <v>0</v>
      </c>
      <c r="N244" s="191">
        <v>706652</v>
      </c>
      <c r="O244" s="191">
        <v>263845</v>
      </c>
      <c r="P244" s="191">
        <v>4513166</v>
      </c>
      <c r="Q244" s="89" t="s">
        <v>37</v>
      </c>
    </row>
    <row r="245" spans="2:16" ht="15.75" customHeight="1">
      <c r="B245" s="133"/>
      <c r="C245" s="156"/>
      <c r="D245" s="192"/>
      <c r="E245" s="156"/>
      <c r="F245" s="156"/>
      <c r="G245" s="99"/>
      <c r="H245" s="191"/>
      <c r="I245" s="191"/>
      <c r="J245" s="191"/>
      <c r="K245" s="156"/>
      <c r="L245" s="156"/>
      <c r="M245" s="99"/>
      <c r="N245" s="191"/>
      <c r="O245" s="191"/>
      <c r="P245" s="191"/>
    </row>
    <row r="246" spans="1:17" ht="15.75" customHeight="1">
      <c r="A246" s="43">
        <v>2014</v>
      </c>
      <c r="B246" s="133"/>
      <c r="C246" s="156"/>
      <c r="D246" s="192"/>
      <c r="E246" s="156"/>
      <c r="F246" s="156"/>
      <c r="G246" s="99"/>
      <c r="H246" s="191"/>
      <c r="I246" s="191"/>
      <c r="J246" s="191"/>
      <c r="K246" s="156"/>
      <c r="L246" s="156"/>
      <c r="M246" s="99"/>
      <c r="N246" s="191"/>
      <c r="O246" s="191"/>
      <c r="P246" s="191"/>
      <c r="Q246" s="43">
        <v>2014</v>
      </c>
    </row>
    <row r="247" spans="1:17" ht="15.75" customHeight="1">
      <c r="A247" s="43" t="s">
        <v>25</v>
      </c>
      <c r="B247" s="133">
        <f aca="true" t="shared" si="24" ref="B247:B258">SUM(C247:F247)</f>
        <v>791080</v>
      </c>
      <c r="C247" s="156">
        <v>389066</v>
      </c>
      <c r="D247" s="192">
        <v>208999</v>
      </c>
      <c r="E247" s="156">
        <v>91671</v>
      </c>
      <c r="F247" s="156">
        <v>101344</v>
      </c>
      <c r="G247" s="99">
        <v>2056497</v>
      </c>
      <c r="H247" s="191">
        <v>994254</v>
      </c>
      <c r="I247" s="191">
        <v>273623</v>
      </c>
      <c r="J247" s="191">
        <v>786560</v>
      </c>
      <c r="K247" s="156">
        <v>448725</v>
      </c>
      <c r="L247" s="156">
        <v>97639</v>
      </c>
      <c r="M247" s="99">
        <v>0</v>
      </c>
      <c r="N247" s="191">
        <v>710700</v>
      </c>
      <c r="O247" s="191">
        <v>272996</v>
      </c>
      <c r="P247" s="191">
        <v>4391878</v>
      </c>
      <c r="Q247" s="43" t="s">
        <v>25</v>
      </c>
    </row>
    <row r="248" spans="1:17" ht="15.75" customHeight="1">
      <c r="A248" s="43" t="s">
        <v>26</v>
      </c>
      <c r="B248" s="133">
        <f t="shared" si="24"/>
        <v>868967</v>
      </c>
      <c r="C248" s="156">
        <v>392761</v>
      </c>
      <c r="D248" s="192">
        <v>226160</v>
      </c>
      <c r="E248" s="156">
        <v>113408</v>
      </c>
      <c r="F248" s="156">
        <v>136638</v>
      </c>
      <c r="G248" s="99">
        <v>2105900</v>
      </c>
      <c r="H248" s="191">
        <v>1022301</v>
      </c>
      <c r="I248" s="191">
        <v>275274</v>
      </c>
      <c r="J248" s="191">
        <v>806854</v>
      </c>
      <c r="K248" s="192">
        <v>448504</v>
      </c>
      <c r="L248" s="192">
        <v>82616</v>
      </c>
      <c r="M248" s="99">
        <v>0</v>
      </c>
      <c r="N248" s="191">
        <v>722765</v>
      </c>
      <c r="O248" s="191">
        <v>276093</v>
      </c>
      <c r="P248" s="191">
        <v>4519143</v>
      </c>
      <c r="Q248" s="43" t="s">
        <v>26</v>
      </c>
    </row>
    <row r="249" spans="1:17" ht="15.75" customHeight="1">
      <c r="A249" s="43" t="s">
        <v>27</v>
      </c>
      <c r="B249" s="133">
        <f t="shared" si="24"/>
        <v>863734</v>
      </c>
      <c r="C249" s="156">
        <v>398936</v>
      </c>
      <c r="D249" s="192">
        <v>232857</v>
      </c>
      <c r="E249" s="156">
        <v>116313</v>
      </c>
      <c r="F249" s="156">
        <v>115628</v>
      </c>
      <c r="G249" s="99">
        <v>2017417.277351707</v>
      </c>
      <c r="H249" s="191">
        <v>943798</v>
      </c>
      <c r="I249" s="191">
        <v>300064</v>
      </c>
      <c r="J249" s="191">
        <v>771824.2056590461</v>
      </c>
      <c r="K249" s="192">
        <v>507085.93966615596</v>
      </c>
      <c r="L249" s="192">
        <v>66662</v>
      </c>
      <c r="M249" s="99">
        <v>0</v>
      </c>
      <c r="N249" s="191">
        <v>721454</v>
      </c>
      <c r="O249" s="191">
        <v>275380</v>
      </c>
      <c r="P249" s="191">
        <v>4466010</v>
      </c>
      <c r="Q249" s="43" t="s">
        <v>27</v>
      </c>
    </row>
    <row r="250" spans="1:17" ht="15.75" customHeight="1">
      <c r="A250" s="43" t="s">
        <v>28</v>
      </c>
      <c r="B250" s="133">
        <f t="shared" si="24"/>
        <v>892133.522628193</v>
      </c>
      <c r="C250" s="128">
        <v>425988.912240274</v>
      </c>
      <c r="D250" s="128">
        <v>247565.83876853398</v>
      </c>
      <c r="E250" s="128">
        <v>118030.515028985</v>
      </c>
      <c r="F250" s="128">
        <v>100548.2565904</v>
      </c>
      <c r="G250" s="99">
        <v>1995771.9370476208</v>
      </c>
      <c r="H250" s="191">
        <v>932913.1593878114</v>
      </c>
      <c r="I250" s="191">
        <v>304687.00901383336</v>
      </c>
      <c r="J250" s="191">
        <v>754836.0073883557</v>
      </c>
      <c r="K250" s="192">
        <v>527889.4377778566</v>
      </c>
      <c r="L250" s="192">
        <v>83812.55759635998</v>
      </c>
      <c r="M250" s="99">
        <v>0</v>
      </c>
      <c r="N250" s="191">
        <v>720004.9913927751</v>
      </c>
      <c r="O250" s="191">
        <v>297290.5772328117</v>
      </c>
      <c r="P250" s="191">
        <v>4531268.069211788</v>
      </c>
      <c r="Q250" s="43" t="s">
        <v>28</v>
      </c>
    </row>
    <row r="251" spans="1:17" ht="15.75" customHeight="1">
      <c r="A251" s="43" t="s">
        <v>29</v>
      </c>
      <c r="B251" s="133">
        <f t="shared" si="24"/>
        <v>917046.1443760685</v>
      </c>
      <c r="C251" s="128">
        <v>431940.8013360578</v>
      </c>
      <c r="D251" s="128">
        <v>241360.26793927563</v>
      </c>
      <c r="E251" s="128">
        <v>130914.02184268099</v>
      </c>
      <c r="F251" s="128">
        <v>112831.05325805409</v>
      </c>
      <c r="G251" s="99">
        <v>1983499.2605774866</v>
      </c>
      <c r="H251" s="191">
        <v>895205.098833618</v>
      </c>
      <c r="I251" s="191">
        <v>321457.96498269116</v>
      </c>
      <c r="J251" s="191">
        <v>764843.8182263771</v>
      </c>
      <c r="K251" s="192">
        <v>564959.4983915435</v>
      </c>
      <c r="L251" s="192">
        <v>73682.10387496</v>
      </c>
      <c r="M251" s="99">
        <v>0</v>
      </c>
      <c r="N251" s="191">
        <v>701118.7757649216</v>
      </c>
      <c r="O251" s="191">
        <v>303069.9894980369</v>
      </c>
      <c r="P251" s="191">
        <v>4557740.818019186</v>
      </c>
      <c r="Q251" s="43" t="s">
        <v>29</v>
      </c>
    </row>
    <row r="252" spans="1:17" ht="15.75" customHeight="1">
      <c r="A252" s="43" t="s">
        <v>30</v>
      </c>
      <c r="B252" s="133">
        <f t="shared" si="24"/>
        <v>964650.3136494707</v>
      </c>
      <c r="C252" s="128">
        <v>483905.5224079896</v>
      </c>
      <c r="D252" s="128">
        <v>243947.1745006864</v>
      </c>
      <c r="E252" s="128">
        <v>131078.50703540898</v>
      </c>
      <c r="F252" s="128">
        <v>105719.1097053856</v>
      </c>
      <c r="G252" s="99">
        <v>2123800.92913671</v>
      </c>
      <c r="H252" s="191">
        <v>1016319.1458257956</v>
      </c>
      <c r="I252" s="191">
        <v>317867.9967221569</v>
      </c>
      <c r="J252" s="191">
        <v>776316.8229029971</v>
      </c>
      <c r="K252" s="192">
        <v>564981.117522503</v>
      </c>
      <c r="L252" s="192">
        <v>100487.76487118001</v>
      </c>
      <c r="M252" s="99">
        <v>0</v>
      </c>
      <c r="N252" s="191">
        <v>681963.2944327949</v>
      </c>
      <c r="O252" s="191">
        <v>326841.5142758744</v>
      </c>
      <c r="P252" s="191">
        <v>4775413.339638353</v>
      </c>
      <c r="Q252" s="43" t="s">
        <v>30</v>
      </c>
    </row>
    <row r="253" spans="1:17" ht="15.75" customHeight="1">
      <c r="A253" s="43" t="s">
        <v>31</v>
      </c>
      <c r="B253" s="133">
        <f t="shared" si="24"/>
        <v>1007346</v>
      </c>
      <c r="C253" s="128">
        <v>493983</v>
      </c>
      <c r="D253" s="128">
        <v>259912</v>
      </c>
      <c r="E253" s="128">
        <v>137696</v>
      </c>
      <c r="F253" s="128">
        <v>115755</v>
      </c>
      <c r="G253" s="99">
        <v>2059167</v>
      </c>
      <c r="H253" s="191">
        <v>953078</v>
      </c>
      <c r="I253" s="191">
        <v>312828</v>
      </c>
      <c r="J253" s="191">
        <v>787896</v>
      </c>
      <c r="K253" s="192">
        <v>567128</v>
      </c>
      <c r="L253" s="192">
        <v>84164</v>
      </c>
      <c r="M253" s="99">
        <v>0</v>
      </c>
      <c r="N253" s="191">
        <v>703998</v>
      </c>
      <c r="O253" s="191">
        <v>336489</v>
      </c>
      <c r="P253" s="191">
        <v>4770976</v>
      </c>
      <c r="Q253" s="43" t="s">
        <v>31</v>
      </c>
    </row>
    <row r="254" spans="1:17" ht="15.75" customHeight="1">
      <c r="A254" s="43" t="s">
        <v>32</v>
      </c>
      <c r="B254" s="133">
        <f t="shared" si="24"/>
        <v>1021942</v>
      </c>
      <c r="C254" s="128">
        <v>501014</v>
      </c>
      <c r="D254" s="128">
        <v>255229</v>
      </c>
      <c r="E254" s="128">
        <v>139307</v>
      </c>
      <c r="F254" s="128">
        <v>126392</v>
      </c>
      <c r="G254" s="99">
        <v>2070273</v>
      </c>
      <c r="H254" s="191">
        <v>934888</v>
      </c>
      <c r="I254" s="191">
        <v>313621</v>
      </c>
      <c r="J254" s="191">
        <v>817753</v>
      </c>
      <c r="K254" s="192">
        <v>586032</v>
      </c>
      <c r="L254" s="192">
        <v>80160</v>
      </c>
      <c r="M254" s="99">
        <v>0</v>
      </c>
      <c r="N254" s="191">
        <v>719332</v>
      </c>
      <c r="O254" s="191">
        <v>333090</v>
      </c>
      <c r="P254" s="191">
        <v>4822894</v>
      </c>
      <c r="Q254" s="43" t="s">
        <v>32</v>
      </c>
    </row>
    <row r="255" spans="1:17" ht="15.75" customHeight="1">
      <c r="A255" s="43" t="s">
        <v>33</v>
      </c>
      <c r="B255" s="133">
        <f t="shared" si="24"/>
        <v>980442</v>
      </c>
      <c r="C255" s="128">
        <v>494757</v>
      </c>
      <c r="D255" s="128">
        <v>260331</v>
      </c>
      <c r="E255" s="128">
        <v>113817</v>
      </c>
      <c r="F255" s="128">
        <v>111537</v>
      </c>
      <c r="G255" s="99">
        <v>2125303</v>
      </c>
      <c r="H255" s="191">
        <v>948878</v>
      </c>
      <c r="I255" s="191">
        <v>332767</v>
      </c>
      <c r="J255" s="191">
        <v>829770</v>
      </c>
      <c r="K255" s="192">
        <v>569582</v>
      </c>
      <c r="L255" s="192">
        <v>93473</v>
      </c>
      <c r="M255" s="99">
        <v>0</v>
      </c>
      <c r="N255" s="191">
        <v>726232</v>
      </c>
      <c r="O255" s="191">
        <v>323033</v>
      </c>
      <c r="P255" s="191">
        <v>4830298</v>
      </c>
      <c r="Q255" s="43" t="s">
        <v>33</v>
      </c>
    </row>
    <row r="256" spans="1:17" ht="15.75" customHeight="1">
      <c r="A256" s="43" t="s">
        <v>35</v>
      </c>
      <c r="B256" s="133">
        <f t="shared" si="24"/>
        <v>1008728.2048556616</v>
      </c>
      <c r="C256" s="128">
        <v>500100.4391350424</v>
      </c>
      <c r="D256" s="128">
        <v>248150.49972713733</v>
      </c>
      <c r="E256" s="128">
        <v>127825.80823654238</v>
      </c>
      <c r="F256" s="128">
        <v>132651.4577569395</v>
      </c>
      <c r="G256" s="99">
        <v>2144268.8087264053</v>
      </c>
      <c r="H256" s="154">
        <v>947711.084902777</v>
      </c>
      <c r="I256" s="154">
        <v>342066.0335223809</v>
      </c>
      <c r="J256" s="154">
        <v>851063.180938967</v>
      </c>
      <c r="K256" s="154">
        <v>642141.365980849</v>
      </c>
      <c r="L256" s="154">
        <v>76828.01735654999</v>
      </c>
      <c r="M256" s="99">
        <v>0</v>
      </c>
      <c r="N256" s="154">
        <v>737264.0770321409</v>
      </c>
      <c r="O256" s="154">
        <v>337169.7785598948</v>
      </c>
      <c r="P256" s="154">
        <v>4958755.233519257</v>
      </c>
      <c r="Q256" s="43" t="s">
        <v>35</v>
      </c>
    </row>
    <row r="257" spans="1:17" ht="15.75" customHeight="1">
      <c r="A257" s="43" t="s">
        <v>36</v>
      </c>
      <c r="B257" s="133">
        <f t="shared" si="24"/>
        <v>982712.9038565672</v>
      </c>
      <c r="C257" s="128">
        <v>481746.7107401371</v>
      </c>
      <c r="D257" s="128">
        <v>252503.7702837716</v>
      </c>
      <c r="E257" s="128">
        <v>112078.50695340728</v>
      </c>
      <c r="F257" s="128">
        <v>136383.91587925117</v>
      </c>
      <c r="G257" s="99">
        <v>2162795.6731137987</v>
      </c>
      <c r="H257" s="154">
        <v>982641.821150628</v>
      </c>
      <c r="I257" s="154">
        <v>312386.14264266356</v>
      </c>
      <c r="J257" s="154">
        <v>863653.2829821473</v>
      </c>
      <c r="K257" s="154">
        <v>584458.2446286184</v>
      </c>
      <c r="L257" s="154">
        <v>75045.57293351</v>
      </c>
      <c r="M257" s="99">
        <v>0</v>
      </c>
      <c r="N257" s="154">
        <v>741770.8473711396</v>
      </c>
      <c r="O257" s="154">
        <v>348990.96276587807</v>
      </c>
      <c r="P257" s="154">
        <v>4908324.819955122</v>
      </c>
      <c r="Q257" s="43" t="s">
        <v>36</v>
      </c>
    </row>
    <row r="258" spans="1:17" s="298" customFormat="1" ht="15.75" customHeight="1">
      <c r="A258" s="263" t="s">
        <v>236</v>
      </c>
      <c r="B258" s="266">
        <f t="shared" si="24"/>
        <v>1015555.9266154121</v>
      </c>
      <c r="C258" s="264">
        <v>522153.4847976959</v>
      </c>
      <c r="D258" s="264">
        <v>244040.97775864706</v>
      </c>
      <c r="E258" s="264">
        <v>123133.79465112984</v>
      </c>
      <c r="F258" s="264">
        <v>126227.66940793932</v>
      </c>
      <c r="G258" s="265">
        <v>2875517.452039604</v>
      </c>
      <c r="H258" s="278">
        <v>1064615.499728144</v>
      </c>
      <c r="I258" s="278">
        <v>339705.2353505218</v>
      </c>
      <c r="J258" s="278">
        <v>893786.7606839876</v>
      </c>
      <c r="K258" s="278">
        <v>457.4710659</v>
      </c>
      <c r="L258" s="278">
        <v>73223.68360467999</v>
      </c>
      <c r="M258" s="265">
        <v>0</v>
      </c>
      <c r="N258" s="278">
        <v>819114.0201848544</v>
      </c>
      <c r="O258" s="278">
        <v>342188.9953329034</v>
      </c>
      <c r="P258" s="278">
        <v>5138752.525072675</v>
      </c>
      <c r="Q258" s="263" t="s">
        <v>37</v>
      </c>
    </row>
    <row r="260" spans="1:17" ht="15.75" customHeight="1">
      <c r="A260" s="43">
        <v>2015</v>
      </c>
      <c r="Q260" s="43">
        <v>2015</v>
      </c>
    </row>
    <row r="261" spans="1:17" ht="15.75" customHeight="1">
      <c r="A261" s="43" t="s">
        <v>25</v>
      </c>
      <c r="B261" s="133">
        <f aca="true" t="shared" si="25" ref="B261:B280">SUM(C261:F261)</f>
        <v>1063576.424557913</v>
      </c>
      <c r="C261" s="128">
        <v>532232.2913414831</v>
      </c>
      <c r="D261" s="128">
        <v>261076.8662272794</v>
      </c>
      <c r="E261" s="128">
        <v>117454.46387923809</v>
      </c>
      <c r="F261" s="128">
        <v>152812.8031099125</v>
      </c>
      <c r="G261" s="99">
        <v>2788408.4225215656</v>
      </c>
      <c r="H261" s="128">
        <v>1014110.20060132</v>
      </c>
      <c r="I261" s="128">
        <v>280697.65210191347</v>
      </c>
      <c r="J261" s="128">
        <v>929781.9017341773</v>
      </c>
      <c r="K261" s="128">
        <v>246.66877506</v>
      </c>
      <c r="L261" s="128">
        <v>70362.01348202</v>
      </c>
      <c r="M261" s="99">
        <v>0</v>
      </c>
      <c r="N261" s="128">
        <v>841187.463407275</v>
      </c>
      <c r="O261" s="128">
        <v>328204.91469231615</v>
      </c>
      <c r="P261" s="128">
        <v>5097322.407436149</v>
      </c>
      <c r="Q261" s="43" t="s">
        <v>25</v>
      </c>
    </row>
    <row r="262" spans="1:17" ht="15.75" customHeight="1">
      <c r="A262" s="43" t="s">
        <v>26</v>
      </c>
      <c r="B262" s="133">
        <f t="shared" si="25"/>
        <v>1041720.3094702961</v>
      </c>
      <c r="C262" s="128">
        <v>534681.9713320992</v>
      </c>
      <c r="D262" s="128">
        <v>250635.3273876505</v>
      </c>
      <c r="E262" s="128">
        <v>119876.18521999329</v>
      </c>
      <c r="F262" s="128">
        <v>136526.8255305532</v>
      </c>
      <c r="G262" s="99">
        <v>2799765.2162716025</v>
      </c>
      <c r="H262" s="128">
        <v>994087.3526024139</v>
      </c>
      <c r="I262" s="128">
        <v>292422.9137885632</v>
      </c>
      <c r="J262" s="128">
        <v>907055.0636205978</v>
      </c>
      <c r="K262" s="128">
        <v>457.10693203</v>
      </c>
      <c r="L262" s="128">
        <v>82188.50810021</v>
      </c>
      <c r="M262" s="99">
        <v>0</v>
      </c>
      <c r="N262" s="128">
        <v>852287.4516365608</v>
      </c>
      <c r="O262" s="128">
        <v>327204.24501251115</v>
      </c>
      <c r="P262" s="128">
        <v>5108960.33742321</v>
      </c>
      <c r="Q262" s="43" t="s">
        <v>26</v>
      </c>
    </row>
    <row r="263" spans="1:17" ht="15.75" customHeight="1">
      <c r="A263" s="43" t="s">
        <v>27</v>
      </c>
      <c r="B263" s="133">
        <f t="shared" si="25"/>
        <v>1075865.6637118037</v>
      </c>
      <c r="C263" s="128">
        <v>557100.5027762189</v>
      </c>
      <c r="D263" s="128">
        <v>283600.92779172055</v>
      </c>
      <c r="E263" s="128">
        <v>124066.88719869764</v>
      </c>
      <c r="F263" s="128">
        <v>111097.34594516644</v>
      </c>
      <c r="G263" s="99">
        <v>2792839.9028548803</v>
      </c>
      <c r="H263" s="128">
        <v>1003001.8705839477</v>
      </c>
      <c r="I263" s="128">
        <v>249385.706735798</v>
      </c>
      <c r="J263" s="128">
        <v>933837.9331413636</v>
      </c>
      <c r="K263" s="128">
        <v>550.09638911</v>
      </c>
      <c r="L263" s="128">
        <v>47197.4187023</v>
      </c>
      <c r="M263" s="99">
        <v>0</v>
      </c>
      <c r="N263" s="128">
        <v>851582.9502382942</v>
      </c>
      <c r="O263" s="128">
        <v>325579.8899314206</v>
      </c>
      <c r="P263" s="128">
        <v>5098953.421827809</v>
      </c>
      <c r="Q263" s="43" t="s">
        <v>27</v>
      </c>
    </row>
    <row r="264" spans="1:17" ht="15.75" customHeight="1">
      <c r="A264" s="43" t="s">
        <v>28</v>
      </c>
      <c r="B264" s="133">
        <f t="shared" si="25"/>
        <v>1107499.8813340215</v>
      </c>
      <c r="C264" s="128">
        <v>575876.5807392654</v>
      </c>
      <c r="D264" s="128">
        <v>307196.3646308883</v>
      </c>
      <c r="E264" s="128">
        <v>113303.746931025</v>
      </c>
      <c r="F264" s="128">
        <v>111123.18903284267</v>
      </c>
      <c r="G264" s="99">
        <v>2826360.693514349</v>
      </c>
      <c r="H264" s="128">
        <v>1012776.3147036663</v>
      </c>
      <c r="I264" s="128">
        <v>294932.2651807792</v>
      </c>
      <c r="J264" s="128">
        <v>928014.2953093788</v>
      </c>
      <c r="K264" s="128">
        <v>462.66465938</v>
      </c>
      <c r="L264" s="128">
        <v>32697.69799809</v>
      </c>
      <c r="M264" s="99">
        <v>0</v>
      </c>
      <c r="N264" s="128">
        <v>857401.6847129185</v>
      </c>
      <c r="O264" s="128">
        <v>373891.9806382533</v>
      </c>
      <c r="P264" s="128">
        <v>5203652.102857012</v>
      </c>
      <c r="Q264" s="43" t="s">
        <v>28</v>
      </c>
    </row>
    <row r="265" spans="1:17" ht="15.75" customHeight="1">
      <c r="A265" s="43" t="s">
        <v>29</v>
      </c>
      <c r="B265" s="133">
        <f t="shared" si="25"/>
        <v>1127996.8233683815</v>
      </c>
      <c r="C265" s="128">
        <v>551904.1912819785</v>
      </c>
      <c r="D265" s="128">
        <v>292600.8655952512</v>
      </c>
      <c r="E265" s="128">
        <v>121023.25044116474</v>
      </c>
      <c r="F265" s="128">
        <v>162468.51604998708</v>
      </c>
      <c r="G265" s="99">
        <v>2804517.5406157523</v>
      </c>
      <c r="H265" s="128">
        <v>960815.1963843235</v>
      </c>
      <c r="I265" s="128">
        <v>278427.54585797904</v>
      </c>
      <c r="J265" s="128">
        <v>943197.7159844651</v>
      </c>
      <c r="K265" s="128">
        <v>467.59626995</v>
      </c>
      <c r="L265" s="128">
        <v>22118.158483239997</v>
      </c>
      <c r="M265" s="99">
        <v>0</v>
      </c>
      <c r="N265" s="128">
        <v>865385.9540813743</v>
      </c>
      <c r="O265" s="128">
        <v>377749.1318394923</v>
      </c>
      <c r="P265" s="128">
        <v>5203572.704658192</v>
      </c>
      <c r="Q265" s="43" t="s">
        <v>29</v>
      </c>
    </row>
    <row r="266" spans="1:17" ht="15.75" customHeight="1">
      <c r="A266" s="43" t="s">
        <v>30</v>
      </c>
      <c r="B266" s="133">
        <f t="shared" si="25"/>
        <v>1188797.368941078</v>
      </c>
      <c r="C266" s="128">
        <v>562669.2753365426</v>
      </c>
      <c r="D266" s="128">
        <v>304905.60437396314</v>
      </c>
      <c r="E266" s="128">
        <v>146345.3525256249</v>
      </c>
      <c r="F266" s="128">
        <v>174877.13670494745</v>
      </c>
      <c r="G266" s="99">
        <v>2825278.428997276</v>
      </c>
      <c r="H266" s="128">
        <v>969032.6625614783</v>
      </c>
      <c r="I266" s="128">
        <v>285097.6511388018</v>
      </c>
      <c r="J266" s="128">
        <v>950455.033179506</v>
      </c>
      <c r="K266" s="128">
        <v>595.5500444</v>
      </c>
      <c r="L266" s="128">
        <v>30699.93264628</v>
      </c>
      <c r="M266" s="99">
        <v>0</v>
      </c>
      <c r="N266" s="128">
        <v>862950.6270206568</v>
      </c>
      <c r="O266" s="128">
        <v>387220.1730595866</v>
      </c>
      <c r="P266" s="128">
        <v>5305145.061962168</v>
      </c>
      <c r="Q266" s="43" t="s">
        <v>30</v>
      </c>
    </row>
    <row r="267" spans="1:17" ht="15.75" customHeight="1">
      <c r="A267" s="43" t="s">
        <v>31</v>
      </c>
      <c r="B267" s="133">
        <f t="shared" si="25"/>
        <v>1216336.656576691</v>
      </c>
      <c r="C267" s="128">
        <v>557630.9022742629</v>
      </c>
      <c r="D267" s="128">
        <v>340219.95237764204</v>
      </c>
      <c r="E267" s="128">
        <v>142102.45814824823</v>
      </c>
      <c r="F267" s="128">
        <v>176383.34377653783</v>
      </c>
      <c r="G267" s="99">
        <v>2815784.374059713</v>
      </c>
      <c r="H267" s="128">
        <v>939212.0806733826</v>
      </c>
      <c r="I267" s="128">
        <v>275648.9934234786</v>
      </c>
      <c r="J267" s="128">
        <v>964208.7814661863</v>
      </c>
      <c r="K267" s="128">
        <v>1256.53821198</v>
      </c>
      <c r="L267" s="128">
        <v>29547.24419503</v>
      </c>
      <c r="M267" s="99">
        <v>0</v>
      </c>
      <c r="N267" s="128">
        <v>863192.8290686972</v>
      </c>
      <c r="O267" s="128">
        <v>404258.2091103105</v>
      </c>
      <c r="P267" s="128">
        <v>5333671.683822421</v>
      </c>
      <c r="Q267" s="43" t="s">
        <v>31</v>
      </c>
    </row>
    <row r="268" spans="1:17" ht="15.75" customHeight="1">
      <c r="A268" s="43" t="s">
        <v>32</v>
      </c>
      <c r="B268" s="133">
        <f t="shared" si="25"/>
        <v>1217793.7129375157</v>
      </c>
      <c r="C268" s="128">
        <v>590557.1764813635</v>
      </c>
      <c r="D268" s="128">
        <v>325250.15061160206</v>
      </c>
      <c r="E268" s="128">
        <v>135552.2993879521</v>
      </c>
      <c r="F268" s="128">
        <v>166434.08645659796</v>
      </c>
      <c r="G268" s="99">
        <v>2843019.363694432</v>
      </c>
      <c r="H268" s="128">
        <v>976036.5555986273</v>
      </c>
      <c r="I268" s="128">
        <v>295058.3117997498</v>
      </c>
      <c r="J268" s="128">
        <v>991911.5395325556</v>
      </c>
      <c r="K268" s="128">
        <v>541.54224633</v>
      </c>
      <c r="L268" s="128">
        <v>28134.31343474</v>
      </c>
      <c r="M268" s="99">
        <v>0</v>
      </c>
      <c r="N268" s="128">
        <v>870453.9211498153</v>
      </c>
      <c r="O268" s="128">
        <v>412736.17626886413</v>
      </c>
      <c r="P268" s="128">
        <v>5382389.176546348</v>
      </c>
      <c r="Q268" s="43" t="s">
        <v>32</v>
      </c>
    </row>
    <row r="269" spans="1:17" ht="15.75" customHeight="1">
      <c r="A269" s="43" t="s">
        <v>33</v>
      </c>
      <c r="B269" s="133">
        <f t="shared" si="25"/>
        <v>1237864.4762126321</v>
      </c>
      <c r="C269" s="128">
        <v>663491.4896588725</v>
      </c>
      <c r="D269" s="128">
        <v>313245.73512825754</v>
      </c>
      <c r="E269" s="128">
        <v>116753.80312707547</v>
      </c>
      <c r="F269" s="128">
        <v>144373.44829842658</v>
      </c>
      <c r="G269" s="99">
        <v>3003728.8164928616</v>
      </c>
      <c r="H269" s="128">
        <v>1083848.6870292942</v>
      </c>
      <c r="I269" s="128">
        <v>262030.8329185748</v>
      </c>
      <c r="J269" s="128">
        <v>971417.4167654876</v>
      </c>
      <c r="K269" s="128">
        <v>674.13213981</v>
      </c>
      <c r="L269" s="128">
        <v>27378.731316539994</v>
      </c>
      <c r="M269" s="99">
        <v>0</v>
      </c>
      <c r="N269" s="128">
        <v>905592.9752571633</v>
      </c>
      <c r="O269" s="128">
        <v>441943.57149966527</v>
      </c>
      <c r="P269" s="128">
        <v>5627120.980808994</v>
      </c>
      <c r="Q269" s="43" t="s">
        <v>33</v>
      </c>
    </row>
    <row r="270" spans="1:17" ht="15.75" customHeight="1">
      <c r="A270" s="43" t="s">
        <v>35</v>
      </c>
      <c r="B270" s="133">
        <f t="shared" si="25"/>
        <v>1225229.8961879942</v>
      </c>
      <c r="C270" s="128">
        <v>649239.3323512068</v>
      </c>
      <c r="D270" s="128">
        <v>317914.6535864226</v>
      </c>
      <c r="E270" s="128">
        <v>118203.01222476942</v>
      </c>
      <c r="F270" s="128">
        <v>139872.89802559523</v>
      </c>
      <c r="G270" s="99">
        <v>3021037.126867973</v>
      </c>
      <c r="H270" s="128">
        <v>1105057.5728159393</v>
      </c>
      <c r="I270" s="128">
        <v>267278.8160029125</v>
      </c>
      <c r="J270" s="128">
        <v>982709.296662967</v>
      </c>
      <c r="K270" s="128">
        <v>760.86732067</v>
      </c>
      <c r="L270" s="128">
        <v>25730.103258879997</v>
      </c>
      <c r="M270" s="99">
        <v>0</v>
      </c>
      <c r="N270" s="128">
        <v>914910.429083147</v>
      </c>
      <c r="O270" s="128">
        <v>430005.5323445749</v>
      </c>
      <c r="P270" s="128">
        <v>5627989.353961259</v>
      </c>
      <c r="Q270" s="43" t="s">
        <v>35</v>
      </c>
    </row>
    <row r="271" spans="1:17" ht="15.75" customHeight="1">
      <c r="A271" s="43" t="s">
        <v>36</v>
      </c>
      <c r="B271" s="133">
        <f t="shared" si="25"/>
        <v>1264625.975339128</v>
      </c>
      <c r="C271" s="128">
        <v>652151.5315535627</v>
      </c>
      <c r="D271" s="128">
        <v>326362.8878954092</v>
      </c>
      <c r="E271" s="128">
        <v>143839.0407073897</v>
      </c>
      <c r="F271" s="128">
        <v>142272.51518276636</v>
      </c>
      <c r="G271" s="99">
        <v>3019602.5307142893</v>
      </c>
      <c r="H271" s="128">
        <v>1117999.631097156</v>
      </c>
      <c r="I271" s="128">
        <v>294883.0266578995</v>
      </c>
      <c r="J271" s="128">
        <v>980513.4876932839</v>
      </c>
      <c r="K271" s="128">
        <v>516.626274</v>
      </c>
      <c r="L271" s="128">
        <v>24893.507122389998</v>
      </c>
      <c r="M271" s="99">
        <v>0</v>
      </c>
      <c r="N271" s="128">
        <v>919931.8932958895</v>
      </c>
      <c r="O271" s="128">
        <v>449266.70251846226</v>
      </c>
      <c r="P271" s="128">
        <v>5689386.75868347</v>
      </c>
      <c r="Q271" s="43" t="s">
        <v>36</v>
      </c>
    </row>
    <row r="272" spans="1:17" ht="15.75" customHeight="1">
      <c r="A272" s="43" t="s">
        <v>37</v>
      </c>
      <c r="B272" s="133">
        <f t="shared" si="25"/>
        <v>1284537.3751829038</v>
      </c>
      <c r="C272" s="128">
        <v>662916.5087645754</v>
      </c>
      <c r="D272" s="128">
        <v>329465.2259923579</v>
      </c>
      <c r="E272" s="128">
        <v>150701.96684317663</v>
      </c>
      <c r="F272" s="128">
        <v>141453.673582794</v>
      </c>
      <c r="G272" s="99">
        <v>2990852.4529753523</v>
      </c>
      <c r="H272" s="128">
        <v>1101350.9531399272</v>
      </c>
      <c r="I272" s="128">
        <v>285089.331789678</v>
      </c>
      <c r="J272" s="128">
        <v>982349.0203224003</v>
      </c>
      <c r="K272" s="128">
        <v>972.41939095</v>
      </c>
      <c r="L272" s="128">
        <v>33347.89717764</v>
      </c>
      <c r="M272" s="99">
        <v>0</v>
      </c>
      <c r="N272" s="128">
        <v>901406.2992459105</v>
      </c>
      <c r="O272" s="128">
        <v>394513.85487050033</v>
      </c>
      <c r="P272" s="128">
        <v>5619489.724466478</v>
      </c>
      <c r="Q272" s="43" t="s">
        <v>37</v>
      </c>
    </row>
    <row r="273" spans="2:13" ht="15.75" customHeight="1">
      <c r="B273" s="133"/>
      <c r="M273" s="99"/>
    </row>
    <row r="274" spans="1:17" ht="15.75" customHeight="1">
      <c r="A274" s="43">
        <v>2016</v>
      </c>
      <c r="B274" s="133"/>
      <c r="M274" s="99"/>
      <c r="Q274" s="43">
        <v>2016</v>
      </c>
    </row>
    <row r="275" spans="1:17" ht="15.75" customHeight="1">
      <c r="A275" s="43" t="s">
        <v>25</v>
      </c>
      <c r="B275" s="133">
        <f>SUM(C275:F275)</f>
        <v>1294022.8155843583</v>
      </c>
      <c r="C275" s="128">
        <v>672538.8462868966</v>
      </c>
      <c r="D275" s="128">
        <v>334244.2861558685</v>
      </c>
      <c r="E275" s="128">
        <v>138672.71985453952</v>
      </c>
      <c r="F275" s="128">
        <v>148566.96328705372</v>
      </c>
      <c r="G275" s="99">
        <v>3065901.036785287</v>
      </c>
      <c r="H275" s="128">
        <v>1217200.9746792603</v>
      </c>
      <c r="I275" s="128">
        <v>256275.98840816325</v>
      </c>
      <c r="J275" s="128">
        <v>912849.6672197598</v>
      </c>
      <c r="K275" s="128">
        <v>466.64269442</v>
      </c>
      <c r="L275" s="128">
        <v>24840.307036520004</v>
      </c>
      <c r="M275" s="99">
        <v>0</v>
      </c>
      <c r="N275" s="128">
        <v>934028.784497008</v>
      </c>
      <c r="O275" s="128">
        <v>446773.35293102957</v>
      </c>
      <c r="P275" s="128">
        <v>5770616.272528623</v>
      </c>
      <c r="Q275" s="43" t="s">
        <v>25</v>
      </c>
    </row>
    <row r="276" spans="1:17" ht="15.75" customHeight="1">
      <c r="A276" s="43" t="s">
        <v>26</v>
      </c>
      <c r="B276" s="133">
        <f t="shared" si="25"/>
        <v>1349665.9090639404</v>
      </c>
      <c r="C276" s="128">
        <v>693265.546491317</v>
      </c>
      <c r="D276" s="128">
        <v>330581.80417556356</v>
      </c>
      <c r="E276" s="128">
        <v>134182.27722011885</v>
      </c>
      <c r="F276" s="128">
        <v>191636.28117694097</v>
      </c>
      <c r="G276" s="99">
        <v>3087660.659814035</v>
      </c>
      <c r="H276" s="128">
        <v>1252564.997919557</v>
      </c>
      <c r="I276" s="128">
        <v>306120.87554569426</v>
      </c>
      <c r="J276" s="128">
        <v>909150.2500777699</v>
      </c>
      <c r="K276" s="128">
        <v>704.8278539</v>
      </c>
      <c r="L276" s="128">
        <v>18931.353497760003</v>
      </c>
      <c r="M276" s="99">
        <v>0</v>
      </c>
      <c r="N276" s="128">
        <v>951090.3955793111</v>
      </c>
      <c r="O276" s="128">
        <v>451809.7795453888</v>
      </c>
      <c r="P276" s="128">
        <v>5869833.762302436</v>
      </c>
      <c r="Q276" s="43" t="s">
        <v>26</v>
      </c>
    </row>
    <row r="277" spans="1:17" ht="15.75" customHeight="1">
      <c r="A277" s="43" t="s">
        <v>27</v>
      </c>
      <c r="B277" s="133">
        <f t="shared" si="25"/>
        <v>1323858.3041882305</v>
      </c>
      <c r="C277" s="128">
        <v>673103.0922738095</v>
      </c>
      <c r="D277" s="128">
        <v>340816.077608541</v>
      </c>
      <c r="E277" s="128">
        <v>130272.53101923088</v>
      </c>
      <c r="F277" s="128">
        <v>179666.6032866491</v>
      </c>
      <c r="G277" s="99">
        <v>3106447.4486131924</v>
      </c>
      <c r="H277" s="128">
        <v>1256929.610822926</v>
      </c>
      <c r="I277" s="128">
        <v>300048.221950253</v>
      </c>
      <c r="J277" s="128">
        <v>937116.0770108202</v>
      </c>
      <c r="K277" s="128">
        <v>989.34505081</v>
      </c>
      <c r="L277" s="128">
        <v>17244.964216689998</v>
      </c>
      <c r="M277" s="99">
        <v>0</v>
      </c>
      <c r="N277" s="128">
        <v>957034.336185057</v>
      </c>
      <c r="O277" s="128">
        <v>516200.9808183839</v>
      </c>
      <c r="P277" s="128">
        <v>5930730.695248434</v>
      </c>
      <c r="Q277" s="43" t="s">
        <v>27</v>
      </c>
    </row>
    <row r="278" spans="1:17" ht="15.75" customHeight="1">
      <c r="A278" s="43" t="s">
        <v>28</v>
      </c>
      <c r="B278" s="133">
        <f t="shared" si="25"/>
        <v>1381472.6203292413</v>
      </c>
      <c r="C278" s="128">
        <v>699464.454749771</v>
      </c>
      <c r="D278" s="128">
        <v>362001.10759454995</v>
      </c>
      <c r="E278" s="128">
        <v>127823.55738973</v>
      </c>
      <c r="F278" s="128">
        <v>192183.50059519</v>
      </c>
      <c r="G278" s="99">
        <v>3108539.4107125076</v>
      </c>
      <c r="H278" s="128">
        <v>1329148.1089310327</v>
      </c>
      <c r="I278" s="128">
        <v>304740.68891315</v>
      </c>
      <c r="J278" s="128">
        <v>951298.8501338201</v>
      </c>
      <c r="K278" s="128">
        <v>479.84437735</v>
      </c>
      <c r="L278" s="128">
        <v>19819.40347857</v>
      </c>
      <c r="M278" s="99">
        <v>0</v>
      </c>
      <c r="N278" s="128">
        <v>963528.3725393799</v>
      </c>
      <c r="O278" s="128">
        <v>525230.5000994203</v>
      </c>
      <c r="P278" s="128">
        <v>6008352.144040829</v>
      </c>
      <c r="Q278" s="43" t="s">
        <v>28</v>
      </c>
    </row>
    <row r="279" spans="1:17" ht="15.75" customHeight="1">
      <c r="A279" s="43" t="s">
        <v>29</v>
      </c>
      <c r="B279" s="133">
        <f>SUM(C279:F279)</f>
        <v>1420460.254715211</v>
      </c>
      <c r="C279" s="128">
        <v>754570.5403768145</v>
      </c>
      <c r="D279" s="128">
        <v>344585.73676085606</v>
      </c>
      <c r="E279" s="128">
        <v>136248.10482134606</v>
      </c>
      <c r="F279" s="128">
        <v>185055.87275619432</v>
      </c>
      <c r="G279" s="99">
        <v>3138842.973316383</v>
      </c>
      <c r="H279" s="128">
        <v>1299436.5798729847</v>
      </c>
      <c r="I279" s="128">
        <v>316390.0376403027</v>
      </c>
      <c r="J279" s="128">
        <v>939320.8720395601</v>
      </c>
      <c r="K279" s="128">
        <v>1146.18530329</v>
      </c>
      <c r="L279" s="128">
        <v>15643.34472033</v>
      </c>
      <c r="M279" s="99">
        <v>0</v>
      </c>
      <c r="N279" s="128">
        <v>960054.5929115969</v>
      </c>
      <c r="O279" s="128">
        <v>525757.52888809</v>
      </c>
      <c r="P279" s="128">
        <v>6081515.744297531</v>
      </c>
      <c r="Q279" s="43" t="s">
        <v>29</v>
      </c>
    </row>
    <row r="280" spans="1:17" ht="15.75" customHeight="1">
      <c r="A280" s="43" t="s">
        <v>30</v>
      </c>
      <c r="B280" s="133">
        <f t="shared" si="25"/>
        <v>1436675.14438295</v>
      </c>
      <c r="C280" s="128">
        <v>781204.2116695599</v>
      </c>
      <c r="D280" s="128">
        <v>338350.02736336</v>
      </c>
      <c r="E280" s="128">
        <v>143903.51696409</v>
      </c>
      <c r="F280" s="128">
        <v>173217.38838594</v>
      </c>
      <c r="G280" s="99">
        <v>3190876.2070568204</v>
      </c>
      <c r="H280" s="128">
        <v>1311429.3112696372</v>
      </c>
      <c r="I280" s="128">
        <v>327905.11018370005</v>
      </c>
      <c r="J280" s="128">
        <v>938903.6632292101</v>
      </c>
      <c r="K280" s="128">
        <v>754.71462625</v>
      </c>
      <c r="L280" s="128">
        <v>17342.74054024</v>
      </c>
      <c r="M280" s="99">
        <v>0</v>
      </c>
      <c r="N280" s="128">
        <v>950465.5463175462</v>
      </c>
      <c r="O280" s="128">
        <v>529918.6514418965</v>
      </c>
      <c r="P280" s="128">
        <v>6135688.323336519</v>
      </c>
      <c r="Q280" s="43" t="s">
        <v>30</v>
      </c>
    </row>
    <row r="281" spans="1:17" ht="15.75" customHeight="1">
      <c r="A281" s="43" t="s">
        <v>31</v>
      </c>
      <c r="B281" s="133">
        <f>SUM(C281:F281)</f>
        <v>1442484</v>
      </c>
      <c r="C281" s="128">
        <v>795156</v>
      </c>
      <c r="D281" s="128">
        <v>343878</v>
      </c>
      <c r="E281" s="128">
        <v>128675</v>
      </c>
      <c r="F281" s="128">
        <v>174775</v>
      </c>
      <c r="G281" s="99">
        <v>3267980</v>
      </c>
      <c r="H281" s="128">
        <v>1315412</v>
      </c>
      <c r="I281" s="128">
        <v>338138</v>
      </c>
      <c r="J281" s="128">
        <v>972538</v>
      </c>
      <c r="K281" s="128">
        <v>645</v>
      </c>
      <c r="L281" s="128">
        <v>15717</v>
      </c>
      <c r="M281" s="99">
        <v>0</v>
      </c>
      <c r="N281" s="128">
        <v>960204</v>
      </c>
      <c r="O281" s="128">
        <v>565028</v>
      </c>
      <c r="P281" s="128">
        <v>6264685</v>
      </c>
      <c r="Q281" s="43" t="s">
        <v>31</v>
      </c>
    </row>
    <row r="282" spans="1:17" ht="15.75" customHeight="1">
      <c r="A282" s="43" t="s">
        <v>32</v>
      </c>
      <c r="B282" s="133">
        <f>SUM(C282:F282)</f>
        <v>1443622</v>
      </c>
      <c r="C282" s="128">
        <v>844681</v>
      </c>
      <c r="D282" s="128">
        <v>321888</v>
      </c>
      <c r="E282" s="128">
        <v>132348</v>
      </c>
      <c r="F282" s="128">
        <v>144705</v>
      </c>
      <c r="G282" s="99">
        <v>3244404</v>
      </c>
      <c r="H282" s="128">
        <v>1284347</v>
      </c>
      <c r="I282" s="128">
        <v>315574</v>
      </c>
      <c r="J282" s="128">
        <v>970806</v>
      </c>
      <c r="K282" s="128">
        <v>402</v>
      </c>
      <c r="L282" s="128">
        <v>19063</v>
      </c>
      <c r="M282" s="99">
        <v>0</v>
      </c>
      <c r="N282" s="128">
        <v>930348</v>
      </c>
      <c r="O282" s="128">
        <v>596712</v>
      </c>
      <c r="P282" s="128">
        <v>6241804</v>
      </c>
      <c r="Q282" s="43" t="s">
        <v>32</v>
      </c>
    </row>
    <row r="283" spans="1:17" ht="15.75" customHeight="1">
      <c r="A283" s="43" t="s">
        <v>33</v>
      </c>
      <c r="B283" s="133">
        <f>SUM(C283:F283)</f>
        <v>1465642</v>
      </c>
      <c r="C283" s="128">
        <v>827912</v>
      </c>
      <c r="D283" s="128">
        <v>334799</v>
      </c>
      <c r="E283" s="128">
        <v>123353</v>
      </c>
      <c r="F283" s="128">
        <v>179578</v>
      </c>
      <c r="G283" s="99">
        <v>3344353</v>
      </c>
      <c r="H283" s="128">
        <v>1366348</v>
      </c>
      <c r="I283" s="128">
        <v>327516</v>
      </c>
      <c r="J283" s="128">
        <v>963030</v>
      </c>
      <c r="K283" s="128">
        <v>368</v>
      </c>
      <c r="L283" s="128">
        <v>11830</v>
      </c>
      <c r="M283" s="99">
        <v>0</v>
      </c>
      <c r="N283" s="128">
        <v>948394</v>
      </c>
      <c r="O283" s="128">
        <v>590049</v>
      </c>
      <c r="P283" s="128">
        <v>6368122</v>
      </c>
      <c r="Q283" s="43" t="s">
        <v>33</v>
      </c>
    </row>
    <row r="284" spans="1:17" ht="15.75" customHeight="1">
      <c r="A284" s="43" t="s">
        <v>35</v>
      </c>
      <c r="B284" s="133">
        <f>SUM(C284:F284)</f>
        <v>0</v>
      </c>
      <c r="C284" s="128"/>
      <c r="D284" s="128"/>
      <c r="E284" s="128"/>
      <c r="F284" s="128"/>
      <c r="G284" s="99"/>
      <c r="M284" s="99"/>
      <c r="Q284" s="43" t="s">
        <v>35</v>
      </c>
    </row>
    <row r="286" spans="1:27" s="275" customFormat="1" ht="13.5">
      <c r="A286" s="274" t="s">
        <v>237</v>
      </c>
      <c r="B286" s="271" t="s">
        <v>239</v>
      </c>
      <c r="C286" s="272"/>
      <c r="D286" s="273"/>
      <c r="E286" s="273"/>
      <c r="F286" s="273"/>
      <c r="G286" s="273"/>
      <c r="H286" s="293"/>
      <c r="I286" s="293"/>
      <c r="J286" s="293"/>
      <c r="K286" s="293"/>
      <c r="L286" s="293"/>
      <c r="M286" s="274"/>
      <c r="N286" s="293"/>
      <c r="O286" s="293"/>
      <c r="P286" s="303"/>
      <c r="Q286" s="272"/>
      <c r="R286" s="272"/>
      <c r="S286" s="272"/>
      <c r="T286" s="272"/>
      <c r="U286" s="272"/>
      <c r="V286" s="272"/>
      <c r="W286" s="272"/>
      <c r="X286" s="270"/>
      <c r="AA286" s="276"/>
    </row>
    <row r="287" spans="1:17" ht="15">
      <c r="A287" s="270" t="s">
        <v>238</v>
      </c>
      <c r="B287" s="81" t="s">
        <v>254</v>
      </c>
      <c r="I287" s="164"/>
      <c r="K287" s="156"/>
      <c r="L287" s="104"/>
      <c r="M287" s="128"/>
      <c r="N287" s="104"/>
      <c r="O287" s="126"/>
      <c r="P287" s="100"/>
      <c r="Q287" s="104"/>
    </row>
  </sheetData>
  <sheetProtection/>
  <mergeCells count="2">
    <mergeCell ref="A1:Q1"/>
    <mergeCell ref="A2:Q2"/>
  </mergeCells>
  <printOptions horizontalCentered="1"/>
  <pageMargins left="0" right="0" top="0.5" bottom="0.5" header="0.17" footer="0.25"/>
  <pageSetup fitToHeight="1" fitToWidth="1" horizontalDpi="600" verticalDpi="600" orientation="landscape" paperSize="9" scale="58" r:id="rId1"/>
  <headerFooter alignWithMargins="0">
    <oddFooter>&amp;L&amp;D&amp;R&amp;T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0"/>
  <sheetViews>
    <sheetView view="pageBreakPreview" zoomScale="60" zoomScaleNormal="58" zoomScalePageLayoutView="0" workbookViewId="0" topLeftCell="A1">
      <pane xSplit="1" ySplit="4" topLeftCell="C24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259" sqref="I259"/>
    </sheetView>
  </sheetViews>
  <sheetFormatPr defaultColWidth="9.33203125" defaultRowHeight="12.75"/>
  <cols>
    <col min="1" max="1" width="38.5" style="197" customWidth="1"/>
    <col min="2" max="2" width="32.5" style="197" customWidth="1"/>
    <col min="3" max="3" width="32.33203125" style="197" customWidth="1"/>
    <col min="4" max="4" width="35.33203125" style="197" customWidth="1"/>
    <col min="5" max="5" width="32.33203125" style="197" customWidth="1"/>
    <col min="6" max="6" width="34.16015625" style="197" customWidth="1"/>
    <col min="7" max="7" width="32.83203125" style="197" customWidth="1"/>
    <col min="8" max="8" width="41" style="197" customWidth="1"/>
    <col min="9" max="9" width="38.66015625" style="197" customWidth="1"/>
    <col min="10" max="10" width="37.5" style="197" bestFit="1" customWidth="1"/>
    <col min="11" max="11" width="43.16015625" style="203" customWidth="1"/>
    <col min="12" max="12" width="29.33203125" style="197" hidden="1" customWidth="1"/>
    <col min="13" max="13" width="30" style="197" hidden="1" customWidth="1"/>
    <col min="14" max="14" width="21" style="197" hidden="1" customWidth="1"/>
    <col min="15" max="15" width="27" style="197" hidden="1" customWidth="1"/>
    <col min="16" max="16" width="25.33203125" style="197" hidden="1" customWidth="1"/>
    <col min="17" max="17" width="25.66015625" style="197" hidden="1" customWidth="1"/>
    <col min="18" max="19" width="24.66015625" style="197" hidden="1" customWidth="1"/>
    <col min="20" max="20" width="26.66015625" style="197" hidden="1" customWidth="1"/>
    <col min="21" max="21" width="20.33203125" style="197" hidden="1" customWidth="1"/>
    <col min="22" max="22" width="17.66015625" style="197" hidden="1" customWidth="1"/>
    <col min="23" max="25" width="10.66015625" style="197" hidden="1" customWidth="1"/>
    <col min="26" max="26" width="4.5" style="197" customWidth="1"/>
    <col min="27" max="16384" width="9.33203125" style="197" customWidth="1"/>
  </cols>
  <sheetData>
    <row r="1" spans="1:22" s="195" customFormat="1" ht="23.25">
      <c r="A1" s="361" t="s">
        <v>198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2" t="s">
        <v>198</v>
      </c>
      <c r="M1" s="361"/>
      <c r="N1" s="361"/>
      <c r="O1" s="361"/>
      <c r="P1" s="361"/>
      <c r="Q1" s="361"/>
      <c r="R1" s="361"/>
      <c r="S1" s="361"/>
      <c r="T1" s="361"/>
      <c r="U1" s="361"/>
      <c r="V1" s="361"/>
    </row>
    <row r="2" spans="12:22" s="195" customFormat="1" ht="24" thickBot="1">
      <c r="L2" s="364" t="s">
        <v>200</v>
      </c>
      <c r="M2" s="363"/>
      <c r="N2" s="363"/>
      <c r="O2" s="363"/>
      <c r="P2" s="363"/>
      <c r="Q2" s="363"/>
      <c r="R2" s="363"/>
      <c r="S2" s="363"/>
      <c r="T2" s="363"/>
      <c r="U2" s="363"/>
      <c r="V2" s="196"/>
    </row>
    <row r="3" spans="1:11" ht="18.75" customHeight="1" thickBot="1">
      <c r="A3" s="363" t="s">
        <v>199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21" s="199" customFormat="1" ht="113.25" thickBot="1">
      <c r="A4" s="198" t="s">
        <v>201</v>
      </c>
      <c r="B4" s="198" t="s">
        <v>202</v>
      </c>
      <c r="C4" s="198" t="s">
        <v>203</v>
      </c>
      <c r="D4" s="198" t="s">
        <v>204</v>
      </c>
      <c r="E4" s="198" t="s">
        <v>205</v>
      </c>
      <c r="F4" s="198" t="s">
        <v>206</v>
      </c>
      <c r="G4" s="198" t="s">
        <v>207</v>
      </c>
      <c r="H4" s="198" t="s">
        <v>208</v>
      </c>
      <c r="I4" s="198" t="s">
        <v>217</v>
      </c>
      <c r="J4" s="198" t="s">
        <v>210</v>
      </c>
      <c r="K4" s="198" t="s">
        <v>41</v>
      </c>
      <c r="L4" s="198" t="s">
        <v>202</v>
      </c>
      <c r="M4" s="198" t="s">
        <v>203</v>
      </c>
      <c r="N4" s="198" t="s">
        <v>204</v>
      </c>
      <c r="O4" s="198" t="s">
        <v>205</v>
      </c>
      <c r="P4" s="198" t="s">
        <v>206</v>
      </c>
      <c r="Q4" s="198" t="s">
        <v>207</v>
      </c>
      <c r="R4" s="198" t="s">
        <v>208</v>
      </c>
      <c r="S4" s="198" t="s">
        <v>209</v>
      </c>
      <c r="T4" s="198" t="s">
        <v>211</v>
      </c>
      <c r="U4" s="198" t="s">
        <v>41</v>
      </c>
    </row>
    <row r="5" spans="1:21" s="199" customFormat="1" ht="23.2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</row>
    <row r="6" spans="1:28" s="203" customFormat="1" ht="34.5" customHeight="1">
      <c r="A6" s="194">
        <v>1996</v>
      </c>
      <c r="B6" s="201">
        <v>792338</v>
      </c>
      <c r="C6" s="201">
        <v>433581</v>
      </c>
      <c r="D6" s="201">
        <v>3240952</v>
      </c>
      <c r="E6" s="201">
        <v>1959381</v>
      </c>
      <c r="F6" s="201">
        <v>76553</v>
      </c>
      <c r="G6" s="201">
        <v>10307140</v>
      </c>
      <c r="H6" s="201">
        <v>117911</v>
      </c>
      <c r="I6" s="201">
        <v>956959</v>
      </c>
      <c r="J6" s="201">
        <v>3506998</v>
      </c>
      <c r="K6" s="201">
        <f>B6+C6+D6+E6+F6+G6+H6+I6+J6</f>
        <v>21391813</v>
      </c>
      <c r="L6" s="202">
        <f aca="true" t="shared" si="0" ref="L6:U6">B6/$K6*100</f>
        <v>3.703931031932637</v>
      </c>
      <c r="M6" s="202">
        <f t="shared" si="0"/>
        <v>2.02685485330299</v>
      </c>
      <c r="N6" s="202">
        <f t="shared" si="0"/>
        <v>15.150431616057974</v>
      </c>
      <c r="O6" s="202">
        <f t="shared" si="0"/>
        <v>9.159490128302822</v>
      </c>
      <c r="P6" s="202">
        <f t="shared" si="0"/>
        <v>0.35786120606046806</v>
      </c>
      <c r="Q6" s="202">
        <f t="shared" si="0"/>
        <v>48.18263884412228</v>
      </c>
      <c r="R6" s="202">
        <f t="shared" si="0"/>
        <v>0.5511968527398776</v>
      </c>
      <c r="S6" s="202">
        <f t="shared" si="0"/>
        <v>4.47348244863584</v>
      </c>
      <c r="T6" s="202">
        <f t="shared" si="0"/>
        <v>16.394113018845108</v>
      </c>
      <c r="U6" s="202">
        <f t="shared" si="0"/>
        <v>100</v>
      </c>
      <c r="V6" s="202"/>
      <c r="W6" s="202"/>
      <c r="X6" s="202"/>
      <c r="Y6" s="202"/>
      <c r="Z6" s="202"/>
      <c r="AA6" s="202"/>
      <c r="AB6" s="202"/>
    </row>
    <row r="7" spans="1:12" ht="34.5" customHeight="1">
      <c r="A7" s="194">
        <v>1997</v>
      </c>
      <c r="B7" s="204" t="s">
        <v>80</v>
      </c>
      <c r="C7" s="204" t="s">
        <v>80</v>
      </c>
      <c r="D7" s="204" t="s">
        <v>80</v>
      </c>
      <c r="E7" s="204" t="s">
        <v>80</v>
      </c>
      <c r="F7" s="204" t="s">
        <v>80</v>
      </c>
      <c r="G7" s="204" t="s">
        <v>80</v>
      </c>
      <c r="H7" s="204" t="s">
        <v>80</v>
      </c>
      <c r="I7" s="204" t="s">
        <v>80</v>
      </c>
      <c r="J7" s="204" t="s">
        <v>80</v>
      </c>
      <c r="K7" s="204" t="s">
        <v>80</v>
      </c>
      <c r="L7" s="205"/>
    </row>
    <row r="8" spans="1:21" ht="34.5" customHeight="1">
      <c r="A8" s="194">
        <v>1998</v>
      </c>
      <c r="B8" s="206">
        <v>920318</v>
      </c>
      <c r="C8" s="206">
        <v>173042</v>
      </c>
      <c r="D8" s="206">
        <v>2815551</v>
      </c>
      <c r="E8" s="206">
        <v>2585918</v>
      </c>
      <c r="F8" s="206">
        <v>136169</v>
      </c>
      <c r="G8" s="206">
        <v>15413766</v>
      </c>
      <c r="H8" s="206">
        <v>1403525</v>
      </c>
      <c r="I8" s="206">
        <v>1497942</v>
      </c>
      <c r="J8" s="206">
        <v>2901195</v>
      </c>
      <c r="K8" s="207">
        <f>SUM(B8:J8)</f>
        <v>27847426</v>
      </c>
      <c r="L8" s="205">
        <f aca="true" t="shared" si="1" ref="L8:S13">B8/$K8*100</f>
        <v>3.3048584095348708</v>
      </c>
      <c r="M8" s="205">
        <f t="shared" si="1"/>
        <v>0.6213931585633803</v>
      </c>
      <c r="N8" s="205">
        <f t="shared" si="1"/>
        <v>10.110632846281735</v>
      </c>
      <c r="O8" s="205">
        <f t="shared" si="1"/>
        <v>9.286021623686153</v>
      </c>
      <c r="P8" s="205">
        <f t="shared" si="1"/>
        <v>0.48898235693309683</v>
      </c>
      <c r="Q8" s="205">
        <f t="shared" si="1"/>
        <v>55.350774610191976</v>
      </c>
      <c r="R8" s="205">
        <f t="shared" si="1"/>
        <v>5.040052893937127</v>
      </c>
      <c r="S8" s="205">
        <f t="shared" si="1"/>
        <v>5.379103978945846</v>
      </c>
      <c r="T8" s="205">
        <f aca="true" t="shared" si="2" ref="T8:U13">J8/$K8*100</f>
        <v>10.418180121925811</v>
      </c>
      <c r="U8" s="205">
        <f t="shared" si="2"/>
        <v>100</v>
      </c>
    </row>
    <row r="9" spans="1:21" ht="34.5" customHeight="1">
      <c r="A9" s="194">
        <v>1999</v>
      </c>
      <c r="B9" s="206">
        <v>1196045</v>
      </c>
      <c r="C9" s="206">
        <v>153617</v>
      </c>
      <c r="D9" s="206">
        <v>3428042</v>
      </c>
      <c r="E9" s="206">
        <v>3333243</v>
      </c>
      <c r="F9" s="206">
        <v>417365</v>
      </c>
      <c r="G9" s="206">
        <v>12292001</v>
      </c>
      <c r="H9" s="206">
        <v>822985</v>
      </c>
      <c r="I9" s="206">
        <v>2046857</v>
      </c>
      <c r="J9" s="206">
        <v>2166772</v>
      </c>
      <c r="K9" s="207">
        <f>SUM(B9:J9)</f>
        <v>25856927</v>
      </c>
      <c r="L9" s="205">
        <f t="shared" si="1"/>
        <v>4.625627012831029</v>
      </c>
      <c r="M9" s="205">
        <f t="shared" si="1"/>
        <v>0.594103854645991</v>
      </c>
      <c r="N9" s="205">
        <f t="shared" si="1"/>
        <v>13.257731670898092</v>
      </c>
      <c r="O9" s="205">
        <f t="shared" si="1"/>
        <v>12.891102643403835</v>
      </c>
      <c r="P9" s="205">
        <f t="shared" si="1"/>
        <v>1.6141322594135026</v>
      </c>
      <c r="Q9" s="205">
        <f t="shared" si="1"/>
        <v>47.53852226910027</v>
      </c>
      <c r="R9" s="205">
        <f t="shared" si="1"/>
        <v>3.182841487698828</v>
      </c>
      <c r="S9" s="205">
        <f t="shared" si="1"/>
        <v>7.916087630985692</v>
      </c>
      <c r="T9" s="205">
        <f t="shared" si="2"/>
        <v>8.379851171022759</v>
      </c>
      <c r="U9" s="205">
        <f t="shared" si="2"/>
        <v>100</v>
      </c>
    </row>
    <row r="10" spans="1:21" ht="34.5" customHeight="1">
      <c r="A10" s="194">
        <v>2000</v>
      </c>
      <c r="B10" s="206">
        <v>1513693</v>
      </c>
      <c r="C10" s="206">
        <v>55403</v>
      </c>
      <c r="D10" s="206">
        <v>3708971</v>
      </c>
      <c r="E10" s="206">
        <v>3954837</v>
      </c>
      <c r="F10" s="206">
        <v>145449</v>
      </c>
      <c r="G10" s="206">
        <v>13058598</v>
      </c>
      <c r="H10" s="206">
        <v>1097732</v>
      </c>
      <c r="I10" s="206">
        <v>3607966</v>
      </c>
      <c r="J10" s="206">
        <v>4162804</v>
      </c>
      <c r="K10" s="207">
        <f>SUM(B10:J10)</f>
        <v>31305453</v>
      </c>
      <c r="L10" s="205">
        <f t="shared" si="1"/>
        <v>4.83523749041421</v>
      </c>
      <c r="M10" s="205">
        <f t="shared" si="1"/>
        <v>0.1769755575809748</v>
      </c>
      <c r="N10" s="205">
        <f t="shared" si="1"/>
        <v>11.847683532961494</v>
      </c>
      <c r="O10" s="205">
        <f t="shared" si="1"/>
        <v>12.633061083639326</v>
      </c>
      <c r="P10" s="205">
        <f t="shared" si="1"/>
        <v>0.46461234724825734</v>
      </c>
      <c r="Q10" s="205">
        <f t="shared" si="1"/>
        <v>41.7134931732181</v>
      </c>
      <c r="R10" s="205">
        <f t="shared" si="1"/>
        <v>3.506520094119066</v>
      </c>
      <c r="S10" s="205">
        <f t="shared" si="1"/>
        <v>11.525040062509238</v>
      </c>
      <c r="T10" s="205">
        <f t="shared" si="2"/>
        <v>13.297376658309338</v>
      </c>
      <c r="U10" s="205">
        <f t="shared" si="2"/>
        <v>100</v>
      </c>
    </row>
    <row r="11" spans="1:21" ht="27" customHeight="1">
      <c r="A11" s="194">
        <v>2001</v>
      </c>
      <c r="B11" s="206">
        <v>3133039</v>
      </c>
      <c r="C11" s="206">
        <v>56071</v>
      </c>
      <c r="D11" s="206">
        <v>3794666</v>
      </c>
      <c r="E11" s="206">
        <v>4024954</v>
      </c>
      <c r="F11" s="206">
        <v>228585</v>
      </c>
      <c r="G11" s="206">
        <v>16892548</v>
      </c>
      <c r="H11" s="206">
        <v>893714</v>
      </c>
      <c r="I11" s="206">
        <v>2977856</v>
      </c>
      <c r="J11" s="206">
        <v>5780471</v>
      </c>
      <c r="K11" s="207">
        <v>37781904</v>
      </c>
      <c r="L11" s="205">
        <f t="shared" si="1"/>
        <v>8.29243280063387</v>
      </c>
      <c r="M11" s="205">
        <f t="shared" si="1"/>
        <v>0.1484070257549752</v>
      </c>
      <c r="N11" s="205">
        <f t="shared" si="1"/>
        <v>10.04360711942945</v>
      </c>
      <c r="O11" s="205">
        <f t="shared" si="1"/>
        <v>10.653126427932271</v>
      </c>
      <c r="P11" s="205">
        <f t="shared" si="1"/>
        <v>0.605011859645824</v>
      </c>
      <c r="Q11" s="205">
        <f t="shared" si="1"/>
        <v>44.71068477650041</v>
      </c>
      <c r="R11" s="205">
        <f t="shared" si="1"/>
        <v>2.3654551660498635</v>
      </c>
      <c r="S11" s="205">
        <f t="shared" si="1"/>
        <v>7.881699133002932</v>
      </c>
      <c r="T11" s="205">
        <f t="shared" si="2"/>
        <v>15.299575691050403</v>
      </c>
      <c r="U11" s="205">
        <f t="shared" si="2"/>
        <v>100</v>
      </c>
    </row>
    <row r="12" spans="1:21" ht="27" customHeight="1">
      <c r="A12" s="194">
        <v>2002</v>
      </c>
      <c r="B12" s="206">
        <v>657317</v>
      </c>
      <c r="C12" s="206">
        <v>203382</v>
      </c>
      <c r="D12" s="206">
        <v>4720970</v>
      </c>
      <c r="E12" s="206">
        <v>9134286</v>
      </c>
      <c r="F12" s="206">
        <v>523010</v>
      </c>
      <c r="G12" s="206">
        <v>25474431</v>
      </c>
      <c r="H12" s="206">
        <v>596648</v>
      </c>
      <c r="I12" s="206">
        <v>3943658</v>
      </c>
      <c r="J12" s="206">
        <v>13390857</v>
      </c>
      <c r="K12" s="207">
        <v>58644559</v>
      </c>
      <c r="L12" s="205">
        <f t="shared" si="1"/>
        <v>1.120849079963241</v>
      </c>
      <c r="M12" s="205">
        <f t="shared" si="1"/>
        <v>0.3468045518084636</v>
      </c>
      <c r="N12" s="205">
        <f t="shared" si="1"/>
        <v>8.05014153145904</v>
      </c>
      <c r="O12" s="205">
        <f t="shared" si="1"/>
        <v>15.575675144901338</v>
      </c>
      <c r="P12" s="205">
        <f t="shared" si="1"/>
        <v>0.8918303912900086</v>
      </c>
      <c r="Q12" s="205">
        <f t="shared" si="1"/>
        <v>43.43869479860869</v>
      </c>
      <c r="R12" s="205">
        <f t="shared" si="1"/>
        <v>1.0173970274036845</v>
      </c>
      <c r="S12" s="205">
        <f t="shared" si="1"/>
        <v>6.724678413900256</v>
      </c>
      <c r="T12" s="205">
        <f t="shared" si="2"/>
        <v>22.833929060665287</v>
      </c>
      <c r="U12" s="205">
        <f t="shared" si="2"/>
        <v>100</v>
      </c>
    </row>
    <row r="13" spans="1:21" ht="23.25">
      <c r="A13" s="194">
        <v>2003</v>
      </c>
      <c r="B13" s="206">
        <v>1814488</v>
      </c>
      <c r="C13" s="206">
        <v>241246</v>
      </c>
      <c r="D13" s="206">
        <v>22313561</v>
      </c>
      <c r="E13" s="206">
        <v>17661569</v>
      </c>
      <c r="F13" s="206">
        <v>2585385</v>
      </c>
      <c r="G13" s="206">
        <v>36877446</v>
      </c>
      <c r="H13" s="206">
        <v>2874707</v>
      </c>
      <c r="I13" s="206">
        <v>13875309</v>
      </c>
      <c r="J13" s="206">
        <v>5604178</v>
      </c>
      <c r="K13" s="207">
        <f>SUM(B13:J13)</f>
        <v>103847889</v>
      </c>
      <c r="L13" s="205">
        <f t="shared" si="1"/>
        <v>1.7472555460419612</v>
      </c>
      <c r="M13" s="205">
        <f t="shared" si="1"/>
        <v>0.23230708136975226</v>
      </c>
      <c r="N13" s="205">
        <f t="shared" si="1"/>
        <v>21.486773794698898</v>
      </c>
      <c r="O13" s="205">
        <f t="shared" si="1"/>
        <v>17.007152644190967</v>
      </c>
      <c r="P13" s="205">
        <f t="shared" si="1"/>
        <v>2.489588401744016</v>
      </c>
      <c r="Q13" s="205">
        <f t="shared" si="1"/>
        <v>35.511021316957155</v>
      </c>
      <c r="R13" s="205">
        <f t="shared" si="1"/>
        <v>2.7681901169892824</v>
      </c>
      <c r="S13" s="205">
        <f t="shared" si="1"/>
        <v>13.361185416104124</v>
      </c>
      <c r="T13" s="205">
        <f t="shared" si="2"/>
        <v>5.396525681903848</v>
      </c>
      <c r="U13" s="205">
        <f t="shared" si="2"/>
        <v>100</v>
      </c>
    </row>
    <row r="14" spans="1:21" ht="34.5" customHeight="1">
      <c r="A14" s="194">
        <v>1998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5"/>
      <c r="M14" s="205"/>
      <c r="N14" s="205"/>
      <c r="O14" s="205"/>
      <c r="P14" s="205"/>
      <c r="Q14" s="205"/>
      <c r="R14" s="205"/>
      <c r="S14" s="205"/>
      <c r="T14" s="205"/>
      <c r="U14" s="205"/>
    </row>
    <row r="15" spans="1:21" ht="34.5" customHeight="1">
      <c r="A15" s="194" t="s">
        <v>135</v>
      </c>
      <c r="B15" s="206">
        <v>761571</v>
      </c>
      <c r="C15" s="206">
        <v>311288</v>
      </c>
      <c r="D15" s="206">
        <v>3801700</v>
      </c>
      <c r="E15" s="206">
        <v>2969526</v>
      </c>
      <c r="F15" s="206">
        <v>219632</v>
      </c>
      <c r="G15" s="206">
        <v>13178277</v>
      </c>
      <c r="H15" s="206">
        <v>424627</v>
      </c>
      <c r="I15" s="206">
        <v>2961365</v>
      </c>
      <c r="J15" s="206">
        <v>1604429</v>
      </c>
      <c r="K15" s="207">
        <f>SUM(B15:J15)</f>
        <v>26232415</v>
      </c>
      <c r="L15" s="205"/>
      <c r="M15" s="205"/>
      <c r="N15" s="205"/>
      <c r="O15" s="205"/>
      <c r="P15" s="205"/>
      <c r="Q15" s="205"/>
      <c r="R15" s="205"/>
      <c r="S15" s="205"/>
      <c r="T15" s="205"/>
      <c r="U15" s="205"/>
    </row>
    <row r="16" spans="1:21" ht="34.5" customHeight="1">
      <c r="A16" s="194" t="s">
        <v>212</v>
      </c>
      <c r="B16" s="206">
        <v>767841</v>
      </c>
      <c r="C16" s="206">
        <v>197933</v>
      </c>
      <c r="D16" s="206">
        <v>3552714</v>
      </c>
      <c r="E16" s="206">
        <v>2803634</v>
      </c>
      <c r="F16" s="206">
        <v>433574</v>
      </c>
      <c r="G16" s="206">
        <v>11199923</v>
      </c>
      <c r="H16" s="206">
        <v>312323</v>
      </c>
      <c r="I16" s="206">
        <v>1014884</v>
      </c>
      <c r="J16" s="206">
        <v>3091625</v>
      </c>
      <c r="K16" s="207">
        <f>SUM(B16:J16)</f>
        <v>23374451</v>
      </c>
      <c r="L16" s="205"/>
      <c r="M16" s="205"/>
      <c r="N16" s="205"/>
      <c r="O16" s="205"/>
      <c r="P16" s="205"/>
      <c r="Q16" s="205"/>
      <c r="R16" s="205"/>
      <c r="S16" s="205"/>
      <c r="T16" s="205"/>
      <c r="U16" s="205"/>
    </row>
    <row r="17" spans="1:21" ht="34.5" customHeight="1">
      <c r="A17" s="194" t="s">
        <v>213</v>
      </c>
      <c r="B17" s="206">
        <v>889588</v>
      </c>
      <c r="C17" s="206">
        <v>260096</v>
      </c>
      <c r="D17" s="206">
        <v>4982450</v>
      </c>
      <c r="E17" s="206">
        <v>3233063</v>
      </c>
      <c r="F17" s="206">
        <v>128003</v>
      </c>
      <c r="G17" s="206">
        <v>14684302</v>
      </c>
      <c r="H17" s="206">
        <v>1670060</v>
      </c>
      <c r="I17" s="206">
        <v>1282949</v>
      </c>
      <c r="J17" s="206">
        <v>1471748</v>
      </c>
      <c r="K17" s="207">
        <f>SUM(B17:J17)</f>
        <v>28602259</v>
      </c>
      <c r="L17" s="205"/>
      <c r="M17" s="205"/>
      <c r="N17" s="205"/>
      <c r="O17" s="205"/>
      <c r="P17" s="205"/>
      <c r="Q17" s="205"/>
      <c r="R17" s="205"/>
      <c r="S17" s="205"/>
      <c r="T17" s="205"/>
      <c r="U17" s="205"/>
    </row>
    <row r="18" spans="1:21" ht="34.5" customHeight="1">
      <c r="A18" s="194" t="s">
        <v>214</v>
      </c>
      <c r="B18" s="206">
        <v>920318</v>
      </c>
      <c r="C18" s="206">
        <v>173042</v>
      </c>
      <c r="D18" s="206">
        <v>2815551</v>
      </c>
      <c r="E18" s="206">
        <v>2585918</v>
      </c>
      <c r="F18" s="206">
        <v>136169</v>
      </c>
      <c r="G18" s="206">
        <v>15413766</v>
      </c>
      <c r="H18" s="206">
        <v>1403525</v>
      </c>
      <c r="I18" s="206">
        <v>1497942</v>
      </c>
      <c r="J18" s="206">
        <v>2901195</v>
      </c>
      <c r="K18" s="207">
        <f>SUM(B18:J18)</f>
        <v>27847426</v>
      </c>
      <c r="L18" s="205"/>
      <c r="M18" s="205"/>
      <c r="N18" s="205"/>
      <c r="O18" s="205"/>
      <c r="P18" s="205"/>
      <c r="Q18" s="205"/>
      <c r="R18" s="205"/>
      <c r="S18" s="205"/>
      <c r="T18" s="205"/>
      <c r="U18" s="205"/>
    </row>
    <row r="19" spans="1:21" ht="34.5" customHeight="1">
      <c r="A19" s="194"/>
      <c r="B19" s="206"/>
      <c r="C19" s="206"/>
      <c r="D19" s="206"/>
      <c r="E19" s="206"/>
      <c r="F19" s="206"/>
      <c r="G19" s="206"/>
      <c r="H19" s="206"/>
      <c r="I19" s="206"/>
      <c r="J19" s="206"/>
      <c r="K19" s="207"/>
      <c r="L19" s="205"/>
      <c r="M19" s="205"/>
      <c r="N19" s="205"/>
      <c r="O19" s="205"/>
      <c r="P19" s="205"/>
      <c r="Q19" s="205"/>
      <c r="R19" s="205"/>
      <c r="S19" s="205"/>
      <c r="T19" s="205"/>
      <c r="U19" s="205"/>
    </row>
    <row r="20" spans="1:21" ht="34.5" customHeight="1">
      <c r="A20" s="194">
        <v>1999</v>
      </c>
      <c r="L20" s="205"/>
      <c r="M20" s="205"/>
      <c r="N20" s="205"/>
      <c r="O20" s="205"/>
      <c r="P20" s="205"/>
      <c r="Q20" s="205"/>
      <c r="R20" s="205"/>
      <c r="S20" s="205"/>
      <c r="T20" s="205"/>
      <c r="U20" s="205"/>
    </row>
    <row r="21" spans="1:21" ht="34.5" customHeight="1">
      <c r="A21" s="194" t="s">
        <v>135</v>
      </c>
      <c r="B21" s="206">
        <v>958976</v>
      </c>
      <c r="C21" s="206">
        <v>171297</v>
      </c>
      <c r="D21" s="206">
        <v>3873605</v>
      </c>
      <c r="E21" s="206">
        <v>3025593</v>
      </c>
      <c r="F21" s="206">
        <v>318729</v>
      </c>
      <c r="G21" s="206">
        <v>14561691</v>
      </c>
      <c r="H21" s="206">
        <v>1021506</v>
      </c>
      <c r="I21" s="206">
        <v>1412295</v>
      </c>
      <c r="J21" s="206">
        <v>1733478</v>
      </c>
      <c r="K21" s="207">
        <f>SUM(B21:J21)</f>
        <v>27077170</v>
      </c>
      <c r="L21" s="205"/>
      <c r="M21" s="205"/>
      <c r="N21" s="205"/>
      <c r="O21" s="205"/>
      <c r="P21" s="205"/>
      <c r="Q21" s="205"/>
      <c r="R21" s="205"/>
      <c r="S21" s="205"/>
      <c r="T21" s="205"/>
      <c r="U21" s="205"/>
    </row>
    <row r="22" spans="1:21" ht="34.5" customHeight="1">
      <c r="A22" s="194" t="s">
        <v>212</v>
      </c>
      <c r="B22" s="206">
        <v>1023286</v>
      </c>
      <c r="C22" s="206">
        <v>171308</v>
      </c>
      <c r="D22" s="206">
        <v>2868148</v>
      </c>
      <c r="E22" s="206">
        <v>3354775</v>
      </c>
      <c r="F22" s="206">
        <v>258231</v>
      </c>
      <c r="G22" s="206">
        <v>12549965</v>
      </c>
      <c r="H22" s="206">
        <v>1127221</v>
      </c>
      <c r="I22" s="206">
        <v>1629095</v>
      </c>
      <c r="J22" s="206">
        <v>2286923</v>
      </c>
      <c r="K22" s="207">
        <f>SUM(B22:J22)</f>
        <v>25268952</v>
      </c>
      <c r="L22" s="205"/>
      <c r="M22" s="205"/>
      <c r="N22" s="205"/>
      <c r="O22" s="205"/>
      <c r="P22" s="205"/>
      <c r="Q22" s="205"/>
      <c r="R22" s="205"/>
      <c r="S22" s="205"/>
      <c r="T22" s="205"/>
      <c r="U22" s="205"/>
    </row>
    <row r="23" spans="1:21" ht="34.5" customHeight="1">
      <c r="A23" s="194" t="s">
        <v>213</v>
      </c>
      <c r="B23" s="206">
        <v>1107419</v>
      </c>
      <c r="C23" s="206">
        <v>154889</v>
      </c>
      <c r="D23" s="206">
        <v>3499027</v>
      </c>
      <c r="E23" s="206">
        <v>3291251</v>
      </c>
      <c r="F23" s="206">
        <v>331781</v>
      </c>
      <c r="G23" s="206">
        <v>12145275</v>
      </c>
      <c r="H23" s="206">
        <v>984097</v>
      </c>
      <c r="I23" s="206">
        <v>1934781</v>
      </c>
      <c r="J23" s="206">
        <v>1945386</v>
      </c>
      <c r="K23" s="207">
        <f>SUM(B23:J23)</f>
        <v>25393906</v>
      </c>
      <c r="L23" s="205"/>
      <c r="M23" s="205"/>
      <c r="N23" s="205"/>
      <c r="O23" s="205"/>
      <c r="P23" s="205"/>
      <c r="Q23" s="205"/>
      <c r="R23" s="205"/>
      <c r="S23" s="205"/>
      <c r="T23" s="205"/>
      <c r="U23" s="205"/>
    </row>
    <row r="24" spans="1:21" ht="34.5" customHeight="1">
      <c r="A24" s="194" t="s">
        <v>214</v>
      </c>
      <c r="B24" s="206">
        <v>1196045</v>
      </c>
      <c r="C24" s="206">
        <v>153617</v>
      </c>
      <c r="D24" s="206">
        <v>3428042</v>
      </c>
      <c r="E24" s="206">
        <v>3333243</v>
      </c>
      <c r="F24" s="206">
        <v>417365</v>
      </c>
      <c r="G24" s="206">
        <v>12292001</v>
      </c>
      <c r="H24" s="206">
        <v>822985</v>
      </c>
      <c r="I24" s="206">
        <v>2046857</v>
      </c>
      <c r="J24" s="206">
        <v>2166772</v>
      </c>
      <c r="K24" s="207">
        <f>SUM(B24:J24)</f>
        <v>25856927</v>
      </c>
      <c r="L24" s="205"/>
      <c r="M24" s="205"/>
      <c r="N24" s="205"/>
      <c r="O24" s="205"/>
      <c r="P24" s="205"/>
      <c r="Q24" s="205"/>
      <c r="R24" s="205"/>
      <c r="S24" s="205"/>
      <c r="T24" s="205"/>
      <c r="U24" s="205"/>
    </row>
    <row r="25" spans="1:21" ht="34.5" customHeight="1">
      <c r="A25" s="194"/>
      <c r="B25" s="206"/>
      <c r="C25" s="206"/>
      <c r="D25" s="206"/>
      <c r="E25" s="206"/>
      <c r="F25" s="206"/>
      <c r="G25" s="206"/>
      <c r="H25" s="206"/>
      <c r="I25" s="206"/>
      <c r="J25" s="206"/>
      <c r="K25" s="207"/>
      <c r="L25" s="205"/>
      <c r="M25" s="205"/>
      <c r="N25" s="205"/>
      <c r="O25" s="205"/>
      <c r="P25" s="205"/>
      <c r="Q25" s="205"/>
      <c r="R25" s="205"/>
      <c r="S25" s="205"/>
      <c r="T25" s="205"/>
      <c r="U25" s="205"/>
    </row>
    <row r="26" spans="1:21" ht="34.5" customHeight="1">
      <c r="A26" s="194"/>
      <c r="B26" s="206"/>
      <c r="C26" s="206"/>
      <c r="D26" s="206"/>
      <c r="E26" s="206"/>
      <c r="F26" s="206"/>
      <c r="G26" s="206"/>
      <c r="H26" s="206"/>
      <c r="I26" s="206"/>
      <c r="J26" s="206"/>
      <c r="K26" s="207"/>
      <c r="L26" s="205"/>
      <c r="M26" s="205"/>
      <c r="N26" s="205"/>
      <c r="O26" s="205"/>
      <c r="P26" s="205"/>
      <c r="Q26" s="205"/>
      <c r="R26" s="205"/>
      <c r="S26" s="205"/>
      <c r="T26" s="205"/>
      <c r="U26" s="205"/>
    </row>
    <row r="27" spans="1:21" ht="34.5" customHeight="1">
      <c r="A27" s="194">
        <v>2000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5"/>
      <c r="M27" s="205"/>
      <c r="N27" s="205"/>
      <c r="O27" s="205"/>
      <c r="P27" s="205"/>
      <c r="Q27" s="205"/>
      <c r="R27" s="205"/>
      <c r="S27" s="205"/>
      <c r="T27" s="205"/>
      <c r="U27" s="205"/>
    </row>
    <row r="28" spans="1:21" ht="34.5" customHeight="1">
      <c r="A28" s="194" t="s">
        <v>187</v>
      </c>
      <c r="B28" s="206">
        <v>1381979</v>
      </c>
      <c r="C28" s="206">
        <v>55093</v>
      </c>
      <c r="D28" s="206">
        <v>2830651</v>
      </c>
      <c r="E28" s="206">
        <v>3465146</v>
      </c>
      <c r="F28" s="206">
        <v>518309</v>
      </c>
      <c r="G28" s="206">
        <v>11202546</v>
      </c>
      <c r="H28" s="206">
        <v>788233</v>
      </c>
      <c r="I28" s="206">
        <v>2026316</v>
      </c>
      <c r="J28" s="206">
        <v>2380325</v>
      </c>
      <c r="K28" s="207">
        <f>SUM(B28:J28)</f>
        <v>24648598</v>
      </c>
      <c r="L28" s="205"/>
      <c r="M28" s="205"/>
      <c r="N28" s="205"/>
      <c r="O28" s="205"/>
      <c r="P28" s="205"/>
      <c r="Q28" s="205"/>
      <c r="R28" s="205"/>
      <c r="S28" s="205"/>
      <c r="T28" s="205"/>
      <c r="U28" s="205"/>
    </row>
    <row r="29" spans="1:21" ht="34.5" customHeight="1">
      <c r="A29" s="194" t="s">
        <v>188</v>
      </c>
      <c r="B29" s="206">
        <v>1293012</v>
      </c>
      <c r="C29" s="206">
        <v>57276</v>
      </c>
      <c r="D29" s="206">
        <v>3861397</v>
      </c>
      <c r="E29" s="206">
        <v>3393106</v>
      </c>
      <c r="F29" s="206">
        <v>381146</v>
      </c>
      <c r="G29" s="206">
        <v>11491368</v>
      </c>
      <c r="H29" s="206">
        <v>926159</v>
      </c>
      <c r="I29" s="206">
        <v>2624763</v>
      </c>
      <c r="J29" s="206">
        <v>1991788</v>
      </c>
      <c r="K29" s="207">
        <f>SUM(B29:J29)</f>
        <v>26020015</v>
      </c>
      <c r="L29" s="205"/>
      <c r="M29" s="205"/>
      <c r="N29" s="205"/>
      <c r="O29" s="205"/>
      <c r="P29" s="205"/>
      <c r="Q29" s="205"/>
      <c r="R29" s="205"/>
      <c r="S29" s="205"/>
      <c r="T29" s="205"/>
      <c r="U29" s="205"/>
    </row>
    <row r="30" spans="1:21" ht="34.5" customHeight="1">
      <c r="A30" s="194" t="s">
        <v>189</v>
      </c>
      <c r="B30" s="206">
        <v>1262862</v>
      </c>
      <c r="C30" s="206">
        <v>52903</v>
      </c>
      <c r="D30" s="206">
        <v>4109414</v>
      </c>
      <c r="E30" s="206">
        <v>3115108</v>
      </c>
      <c r="F30" s="206">
        <v>266762</v>
      </c>
      <c r="G30" s="206">
        <v>12404583</v>
      </c>
      <c r="H30" s="206">
        <v>655773</v>
      </c>
      <c r="I30" s="206">
        <v>3462157</v>
      </c>
      <c r="J30" s="206">
        <v>2261380</v>
      </c>
      <c r="K30" s="207">
        <v>27590942</v>
      </c>
      <c r="L30" s="205"/>
      <c r="M30" s="205"/>
      <c r="N30" s="205"/>
      <c r="O30" s="205"/>
      <c r="P30" s="205"/>
      <c r="Q30" s="205"/>
      <c r="R30" s="205"/>
      <c r="S30" s="205"/>
      <c r="T30" s="205"/>
      <c r="U30" s="205"/>
    </row>
    <row r="31" spans="1:21" ht="34.5" customHeight="1">
      <c r="A31" s="194" t="s">
        <v>190</v>
      </c>
      <c r="B31" s="206">
        <v>1287874</v>
      </c>
      <c r="C31" s="206">
        <v>54963</v>
      </c>
      <c r="D31" s="206">
        <v>3770145</v>
      </c>
      <c r="E31" s="206">
        <v>3153184</v>
      </c>
      <c r="F31" s="206">
        <v>289140</v>
      </c>
      <c r="G31" s="206">
        <v>12750111</v>
      </c>
      <c r="H31" s="206">
        <v>741752</v>
      </c>
      <c r="I31" s="206">
        <v>3933647</v>
      </c>
      <c r="J31" s="206">
        <v>2094301</v>
      </c>
      <c r="K31" s="207">
        <v>28075117</v>
      </c>
      <c r="L31" s="205"/>
      <c r="M31" s="205"/>
      <c r="N31" s="205"/>
      <c r="O31" s="205"/>
      <c r="P31" s="205"/>
      <c r="Q31" s="205"/>
      <c r="R31" s="205"/>
      <c r="S31" s="205"/>
      <c r="T31" s="205"/>
      <c r="U31" s="205"/>
    </row>
    <row r="32" spans="1:21" ht="34.5" customHeight="1">
      <c r="A32" s="194" t="s">
        <v>29</v>
      </c>
      <c r="B32" s="206">
        <v>1316749</v>
      </c>
      <c r="C32" s="206">
        <v>55003</v>
      </c>
      <c r="D32" s="206">
        <v>3981950</v>
      </c>
      <c r="E32" s="206">
        <v>3570573</v>
      </c>
      <c r="F32" s="206">
        <v>389902</v>
      </c>
      <c r="G32" s="206">
        <v>11748795</v>
      </c>
      <c r="H32" s="206">
        <v>951513</v>
      </c>
      <c r="I32" s="206">
        <v>3720112</v>
      </c>
      <c r="J32" s="206">
        <v>2254122</v>
      </c>
      <c r="K32" s="207">
        <v>27988719</v>
      </c>
      <c r="L32" s="205"/>
      <c r="M32" s="205"/>
      <c r="N32" s="205"/>
      <c r="O32" s="205"/>
      <c r="P32" s="205"/>
      <c r="Q32" s="205"/>
      <c r="R32" s="205"/>
      <c r="S32" s="205"/>
      <c r="T32" s="205"/>
      <c r="U32" s="205"/>
    </row>
    <row r="33" spans="1:21" ht="34.5" customHeight="1">
      <c r="A33" s="194" t="s">
        <v>191</v>
      </c>
      <c r="B33" s="206">
        <v>1328664</v>
      </c>
      <c r="C33" s="206">
        <v>261213</v>
      </c>
      <c r="D33" s="206">
        <v>3861927</v>
      </c>
      <c r="E33" s="206">
        <v>3624764</v>
      </c>
      <c r="F33" s="206">
        <v>223050</v>
      </c>
      <c r="G33" s="206">
        <v>11356034</v>
      </c>
      <c r="H33" s="206">
        <v>785313</v>
      </c>
      <c r="I33" s="206">
        <v>3643360</v>
      </c>
      <c r="J33" s="206">
        <v>2463586</v>
      </c>
      <c r="K33" s="207">
        <v>27547811</v>
      </c>
      <c r="L33" s="205"/>
      <c r="M33" s="205"/>
      <c r="N33" s="205"/>
      <c r="O33" s="205"/>
      <c r="P33" s="205"/>
      <c r="Q33" s="205"/>
      <c r="R33" s="205"/>
      <c r="S33" s="205"/>
      <c r="T33" s="205"/>
      <c r="U33" s="205"/>
    </row>
    <row r="34" spans="1:21" ht="34.5" customHeight="1">
      <c r="A34" s="194" t="s">
        <v>192</v>
      </c>
      <c r="B34" s="206">
        <v>1383029</v>
      </c>
      <c r="C34" s="206">
        <v>55119</v>
      </c>
      <c r="D34" s="206">
        <v>3958058</v>
      </c>
      <c r="E34" s="206">
        <v>3976770</v>
      </c>
      <c r="F34" s="206">
        <v>305388</v>
      </c>
      <c r="G34" s="206">
        <v>12873799</v>
      </c>
      <c r="H34" s="206">
        <v>648380</v>
      </c>
      <c r="I34" s="206">
        <v>3713879</v>
      </c>
      <c r="J34" s="206">
        <v>2565002</v>
      </c>
      <c r="K34" s="207">
        <v>29479424</v>
      </c>
      <c r="L34" s="205"/>
      <c r="M34" s="205"/>
      <c r="N34" s="205"/>
      <c r="O34" s="205"/>
      <c r="P34" s="205"/>
      <c r="Q34" s="205"/>
      <c r="R34" s="205"/>
      <c r="S34" s="205"/>
      <c r="T34" s="205"/>
      <c r="U34" s="205"/>
    </row>
    <row r="35" spans="1:21" ht="34.5" customHeight="1">
      <c r="A35" s="194" t="s">
        <v>193</v>
      </c>
      <c r="B35" s="206">
        <v>1456045</v>
      </c>
      <c r="C35" s="206">
        <v>55169</v>
      </c>
      <c r="D35" s="206">
        <v>4022832</v>
      </c>
      <c r="E35" s="206">
        <v>3821146</v>
      </c>
      <c r="F35" s="206">
        <v>130356</v>
      </c>
      <c r="G35" s="206">
        <v>13735062</v>
      </c>
      <c r="H35" s="206">
        <v>733852</v>
      </c>
      <c r="I35" s="206">
        <v>3194946</v>
      </c>
      <c r="J35" s="206">
        <v>3409887</v>
      </c>
      <c r="K35" s="207">
        <v>30559295</v>
      </c>
      <c r="L35" s="205"/>
      <c r="M35" s="205"/>
      <c r="N35" s="205"/>
      <c r="O35" s="205"/>
      <c r="P35" s="205"/>
      <c r="Q35" s="205"/>
      <c r="R35" s="205"/>
      <c r="S35" s="205"/>
      <c r="T35" s="205"/>
      <c r="U35" s="205"/>
    </row>
    <row r="36" spans="1:21" ht="34.5" customHeight="1">
      <c r="A36" s="194" t="s">
        <v>194</v>
      </c>
      <c r="B36" s="206">
        <v>1505891</v>
      </c>
      <c r="C36" s="206">
        <v>254920</v>
      </c>
      <c r="D36" s="206">
        <v>4426541</v>
      </c>
      <c r="E36" s="206">
        <v>4088322</v>
      </c>
      <c r="F36" s="206">
        <v>179970</v>
      </c>
      <c r="G36" s="206">
        <v>12503406</v>
      </c>
      <c r="H36" s="206">
        <v>667403</v>
      </c>
      <c r="I36" s="206">
        <v>3551034</v>
      </c>
      <c r="J36" s="206">
        <v>3245993</v>
      </c>
      <c r="K36" s="207">
        <f>SUM(B36:J36)</f>
        <v>30423480</v>
      </c>
      <c r="L36" s="205"/>
      <c r="M36" s="205"/>
      <c r="N36" s="205"/>
      <c r="O36" s="205"/>
      <c r="P36" s="205"/>
      <c r="Q36" s="205"/>
      <c r="R36" s="205"/>
      <c r="S36" s="205"/>
      <c r="T36" s="205"/>
      <c r="U36" s="205"/>
    </row>
    <row r="37" spans="1:21" ht="34.5" customHeight="1">
      <c r="A37" s="194" t="s">
        <v>195</v>
      </c>
      <c r="B37" s="206">
        <v>1524566</v>
      </c>
      <c r="C37" s="206">
        <v>243271</v>
      </c>
      <c r="D37" s="206">
        <v>4108178</v>
      </c>
      <c r="E37" s="206">
        <v>4404228</v>
      </c>
      <c r="F37" s="206">
        <v>442786</v>
      </c>
      <c r="G37" s="206">
        <v>12846163</v>
      </c>
      <c r="H37" s="206">
        <v>700021</v>
      </c>
      <c r="I37" s="206">
        <v>3266211</v>
      </c>
      <c r="J37" s="206">
        <v>3101719</v>
      </c>
      <c r="K37" s="207">
        <f>SUM(B37:J37)</f>
        <v>30637143</v>
      </c>
      <c r="L37" s="205"/>
      <c r="M37" s="205"/>
      <c r="N37" s="205"/>
      <c r="O37" s="205"/>
      <c r="P37" s="205"/>
      <c r="Q37" s="205"/>
      <c r="R37" s="205"/>
      <c r="S37" s="205"/>
      <c r="T37" s="205"/>
      <c r="U37" s="205"/>
    </row>
    <row r="38" spans="1:21" ht="34.5" customHeight="1">
      <c r="A38" s="194" t="s">
        <v>196</v>
      </c>
      <c r="B38" s="206">
        <v>1600667</v>
      </c>
      <c r="C38" s="206">
        <v>260847</v>
      </c>
      <c r="D38" s="206">
        <v>3891758</v>
      </c>
      <c r="E38" s="206">
        <v>4461736</v>
      </c>
      <c r="F38" s="206">
        <v>95264</v>
      </c>
      <c r="G38" s="206">
        <v>12314409</v>
      </c>
      <c r="H38" s="206">
        <v>746829</v>
      </c>
      <c r="I38" s="206">
        <v>3545487</v>
      </c>
      <c r="J38" s="206">
        <v>3421129</v>
      </c>
      <c r="K38" s="207">
        <f>SUM(B38:J38)</f>
        <v>30338126</v>
      </c>
      <c r="L38" s="205"/>
      <c r="M38" s="205"/>
      <c r="N38" s="205"/>
      <c r="O38" s="205"/>
      <c r="P38" s="205"/>
      <c r="Q38" s="205"/>
      <c r="R38" s="205"/>
      <c r="S38" s="205"/>
      <c r="T38" s="205"/>
      <c r="U38" s="205"/>
    </row>
    <row r="39" spans="1:21" ht="34.5" customHeight="1">
      <c r="A39" s="194" t="s">
        <v>197</v>
      </c>
      <c r="B39" s="206">
        <v>1513693</v>
      </c>
      <c r="C39" s="206">
        <v>55403</v>
      </c>
      <c r="D39" s="206">
        <v>3708971</v>
      </c>
      <c r="E39" s="206">
        <v>3954837</v>
      </c>
      <c r="F39" s="206">
        <v>145449</v>
      </c>
      <c r="G39" s="206">
        <v>13058598</v>
      </c>
      <c r="H39" s="206">
        <v>1097732</v>
      </c>
      <c r="I39" s="206">
        <v>3607966</v>
      </c>
      <c r="J39" s="206">
        <v>4162804</v>
      </c>
      <c r="K39" s="207">
        <f>SUM(B39:J39)</f>
        <v>31305453</v>
      </c>
      <c r="L39" s="205"/>
      <c r="M39" s="205"/>
      <c r="N39" s="205"/>
      <c r="O39" s="205"/>
      <c r="P39" s="205"/>
      <c r="Q39" s="205"/>
      <c r="R39" s="205"/>
      <c r="S39" s="205"/>
      <c r="T39" s="205"/>
      <c r="U39" s="205"/>
    </row>
    <row r="40" spans="1:21" ht="34.5" customHeight="1">
      <c r="A40" s="194"/>
      <c r="B40" s="206"/>
      <c r="C40" s="206"/>
      <c r="D40" s="206"/>
      <c r="E40" s="206"/>
      <c r="F40" s="206"/>
      <c r="G40" s="206"/>
      <c r="H40" s="206"/>
      <c r="I40" s="206"/>
      <c r="J40" s="206"/>
      <c r="K40" s="207"/>
      <c r="L40" s="205"/>
      <c r="M40" s="205"/>
      <c r="N40" s="205"/>
      <c r="O40" s="205"/>
      <c r="P40" s="205"/>
      <c r="Q40" s="205"/>
      <c r="R40" s="205"/>
      <c r="S40" s="205"/>
      <c r="T40" s="205"/>
      <c r="U40" s="205"/>
    </row>
    <row r="41" spans="1:21" ht="36" customHeight="1">
      <c r="A41" s="194">
        <v>2001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5"/>
      <c r="M41" s="205"/>
      <c r="N41" s="205"/>
      <c r="O41" s="205"/>
      <c r="P41" s="205"/>
      <c r="Q41" s="205"/>
      <c r="R41" s="205"/>
      <c r="S41" s="205"/>
      <c r="T41" s="205"/>
      <c r="U41" s="205"/>
    </row>
    <row r="42" spans="1:21" ht="33" customHeight="1">
      <c r="A42" s="194" t="s">
        <v>187</v>
      </c>
      <c r="B42" s="206">
        <v>1562274</v>
      </c>
      <c r="C42" s="206">
        <v>55475</v>
      </c>
      <c r="D42" s="206">
        <v>3100480</v>
      </c>
      <c r="E42" s="206">
        <v>4169246</v>
      </c>
      <c r="F42" s="206">
        <v>257245</v>
      </c>
      <c r="G42" s="206">
        <v>12662599</v>
      </c>
      <c r="H42" s="206">
        <v>1001295</v>
      </c>
      <c r="I42" s="206">
        <v>3391205</v>
      </c>
      <c r="J42" s="206">
        <v>3649206</v>
      </c>
      <c r="K42" s="207">
        <f aca="true" t="shared" si="3" ref="K42:K53">SUM(B42:J42)</f>
        <v>29849025</v>
      </c>
      <c r="L42" s="205"/>
      <c r="M42" s="205"/>
      <c r="N42" s="205"/>
      <c r="O42" s="205"/>
      <c r="P42" s="205"/>
      <c r="Q42" s="205"/>
      <c r="R42" s="205"/>
      <c r="S42" s="205"/>
      <c r="T42" s="205"/>
      <c r="U42" s="205"/>
    </row>
    <row r="43" spans="1:21" ht="34.5" customHeight="1">
      <c r="A43" s="194" t="s">
        <v>188</v>
      </c>
      <c r="B43" s="206">
        <v>1354315</v>
      </c>
      <c r="C43" s="206">
        <v>55536</v>
      </c>
      <c r="D43" s="206">
        <v>3133679</v>
      </c>
      <c r="E43" s="206">
        <v>4556677</v>
      </c>
      <c r="F43" s="206">
        <v>66170</v>
      </c>
      <c r="G43" s="206">
        <v>13347966</v>
      </c>
      <c r="H43" s="206">
        <v>1155554</v>
      </c>
      <c r="I43" s="206">
        <v>3009877</v>
      </c>
      <c r="J43" s="206">
        <v>4414678</v>
      </c>
      <c r="K43" s="207">
        <f t="shared" si="3"/>
        <v>31094452</v>
      </c>
      <c r="L43" s="205"/>
      <c r="M43" s="205"/>
      <c r="N43" s="205"/>
      <c r="O43" s="205"/>
      <c r="P43" s="205"/>
      <c r="Q43" s="205"/>
      <c r="R43" s="205"/>
      <c r="S43" s="205"/>
      <c r="T43" s="205"/>
      <c r="U43" s="205"/>
    </row>
    <row r="44" spans="1:21" ht="34.5" customHeight="1">
      <c r="A44" s="194" t="s">
        <v>189</v>
      </c>
      <c r="B44" s="206">
        <v>1353451</v>
      </c>
      <c r="C44" s="206">
        <v>55583</v>
      </c>
      <c r="D44" s="206">
        <v>3731885</v>
      </c>
      <c r="E44" s="206">
        <v>4669418</v>
      </c>
      <c r="F44" s="206">
        <v>158045</v>
      </c>
      <c r="G44" s="206">
        <v>13698315</v>
      </c>
      <c r="H44" s="206">
        <v>1098547</v>
      </c>
      <c r="I44" s="206">
        <v>3229994</v>
      </c>
      <c r="J44" s="206">
        <v>4327006</v>
      </c>
      <c r="K44" s="207">
        <f t="shared" si="3"/>
        <v>32322244</v>
      </c>
      <c r="L44" s="205"/>
      <c r="M44" s="205"/>
      <c r="N44" s="205"/>
      <c r="O44" s="205"/>
      <c r="P44" s="205"/>
      <c r="Q44" s="205"/>
      <c r="R44" s="205"/>
      <c r="S44" s="205"/>
      <c r="T44" s="205"/>
      <c r="U44" s="205"/>
    </row>
    <row r="45" spans="1:21" ht="34.5" customHeight="1">
      <c r="A45" s="194" t="s">
        <v>190</v>
      </c>
      <c r="B45" s="206">
        <v>1369447</v>
      </c>
      <c r="C45" s="206">
        <v>55643</v>
      </c>
      <c r="D45" s="206">
        <v>3343832</v>
      </c>
      <c r="E45" s="206">
        <v>4859549</v>
      </c>
      <c r="F45" s="206">
        <v>149357</v>
      </c>
      <c r="G45" s="206">
        <v>13935459</v>
      </c>
      <c r="H45" s="206">
        <v>1078483</v>
      </c>
      <c r="I45" s="206">
        <v>3434589</v>
      </c>
      <c r="J45" s="206">
        <v>4973905</v>
      </c>
      <c r="K45" s="207">
        <f t="shared" si="3"/>
        <v>33200264</v>
      </c>
      <c r="L45" s="205"/>
      <c r="M45" s="205"/>
      <c r="N45" s="205"/>
      <c r="O45" s="205"/>
      <c r="P45" s="205"/>
      <c r="Q45" s="205"/>
      <c r="R45" s="205"/>
      <c r="S45" s="205"/>
      <c r="T45" s="205"/>
      <c r="U45" s="205"/>
    </row>
    <row r="46" spans="1:21" ht="34.5" customHeight="1">
      <c r="A46" s="194" t="s">
        <v>29</v>
      </c>
      <c r="B46" s="206">
        <v>1447577</v>
      </c>
      <c r="C46" s="206">
        <v>55704</v>
      </c>
      <c r="D46" s="206">
        <v>3368144</v>
      </c>
      <c r="E46" s="206">
        <v>4633948</v>
      </c>
      <c r="F46" s="206">
        <v>182731</v>
      </c>
      <c r="G46" s="206">
        <v>13166104</v>
      </c>
      <c r="H46" s="206">
        <v>1510400</v>
      </c>
      <c r="I46" s="206">
        <v>3983190</v>
      </c>
      <c r="J46" s="206">
        <v>4236563</v>
      </c>
      <c r="K46" s="207">
        <f t="shared" si="3"/>
        <v>32584361</v>
      </c>
      <c r="L46" s="205"/>
      <c r="M46" s="205"/>
      <c r="N46" s="205"/>
      <c r="O46" s="205"/>
      <c r="P46" s="205"/>
      <c r="Q46" s="205"/>
      <c r="R46" s="205"/>
      <c r="S46" s="205"/>
      <c r="T46" s="205"/>
      <c r="U46" s="205"/>
    </row>
    <row r="47" spans="1:21" ht="34.5" customHeight="1">
      <c r="A47" s="194" t="s">
        <v>191</v>
      </c>
      <c r="B47" s="206">
        <v>1480848</v>
      </c>
      <c r="C47" s="206">
        <v>55768</v>
      </c>
      <c r="D47" s="206">
        <v>2836847</v>
      </c>
      <c r="E47" s="206">
        <v>4679575</v>
      </c>
      <c r="F47" s="206">
        <v>268289</v>
      </c>
      <c r="G47" s="206">
        <v>14033995</v>
      </c>
      <c r="H47" s="206">
        <v>1302880</v>
      </c>
      <c r="I47" s="206">
        <v>3993019</v>
      </c>
      <c r="J47" s="206">
        <v>4741624</v>
      </c>
      <c r="K47" s="207">
        <f t="shared" si="3"/>
        <v>33392845</v>
      </c>
      <c r="L47" s="205"/>
      <c r="M47" s="205"/>
      <c r="N47" s="205"/>
      <c r="O47" s="205"/>
      <c r="P47" s="205"/>
      <c r="Q47" s="205"/>
      <c r="R47" s="205"/>
      <c r="S47" s="205"/>
      <c r="T47" s="205"/>
      <c r="U47" s="205"/>
    </row>
    <row r="48" spans="1:21" ht="34.5" customHeight="1">
      <c r="A48" s="194" t="s">
        <v>192</v>
      </c>
      <c r="B48" s="206">
        <v>1478020</v>
      </c>
      <c r="C48" s="206">
        <v>58616</v>
      </c>
      <c r="D48" s="206">
        <v>3240308</v>
      </c>
      <c r="E48" s="206">
        <v>4273043</v>
      </c>
      <c r="F48" s="206">
        <v>366485</v>
      </c>
      <c r="G48" s="206">
        <v>15543723</v>
      </c>
      <c r="H48" s="206">
        <v>917360</v>
      </c>
      <c r="I48" s="206">
        <v>4051168</v>
      </c>
      <c r="J48" s="206">
        <v>5047343</v>
      </c>
      <c r="K48" s="207">
        <f t="shared" si="3"/>
        <v>34976066</v>
      </c>
      <c r="L48" s="205"/>
      <c r="M48" s="205"/>
      <c r="N48" s="205"/>
      <c r="O48" s="205"/>
      <c r="P48" s="205"/>
      <c r="Q48" s="205"/>
      <c r="R48" s="205"/>
      <c r="S48" s="205"/>
      <c r="T48" s="205"/>
      <c r="U48" s="205"/>
    </row>
    <row r="49" spans="1:21" ht="34.5" customHeight="1">
      <c r="A49" s="194" t="s">
        <v>193</v>
      </c>
      <c r="B49" s="206">
        <v>1506760</v>
      </c>
      <c r="C49" s="206">
        <v>58800</v>
      </c>
      <c r="D49" s="206">
        <v>2886930</v>
      </c>
      <c r="E49" s="206">
        <v>3705458</v>
      </c>
      <c r="F49" s="206">
        <v>472640</v>
      </c>
      <c r="G49" s="206">
        <v>16462335</v>
      </c>
      <c r="H49" s="206">
        <v>940558</v>
      </c>
      <c r="I49" s="206">
        <v>3985576</v>
      </c>
      <c r="J49" s="206">
        <v>5215958</v>
      </c>
      <c r="K49" s="207">
        <f t="shared" si="3"/>
        <v>35235015</v>
      </c>
      <c r="L49" s="205"/>
      <c r="M49" s="205"/>
      <c r="N49" s="205"/>
      <c r="O49" s="205"/>
      <c r="P49" s="205"/>
      <c r="Q49" s="205"/>
      <c r="R49" s="205"/>
      <c r="S49" s="205"/>
      <c r="T49" s="205"/>
      <c r="U49" s="205"/>
    </row>
    <row r="50" spans="1:21" ht="34.5" customHeight="1">
      <c r="A50" s="194" t="s">
        <v>194</v>
      </c>
      <c r="B50" s="206">
        <v>1571619</v>
      </c>
      <c r="C50" s="206">
        <v>58909</v>
      </c>
      <c r="D50" s="206">
        <v>3462441</v>
      </c>
      <c r="E50" s="206">
        <v>3571096</v>
      </c>
      <c r="F50" s="206">
        <v>359197</v>
      </c>
      <c r="G50" s="206">
        <v>15353557</v>
      </c>
      <c r="H50" s="206">
        <v>1060147</v>
      </c>
      <c r="I50" s="206">
        <v>6958503</v>
      </c>
      <c r="J50" s="206">
        <v>2014177</v>
      </c>
      <c r="K50" s="207">
        <f t="shared" si="3"/>
        <v>34409646</v>
      </c>
      <c r="L50" s="205"/>
      <c r="M50" s="205"/>
      <c r="N50" s="205"/>
      <c r="O50" s="205"/>
      <c r="P50" s="205"/>
      <c r="Q50" s="205"/>
      <c r="R50" s="205"/>
      <c r="S50" s="205"/>
      <c r="T50" s="205"/>
      <c r="U50" s="205"/>
    </row>
    <row r="51" spans="1:21" ht="34.5" customHeight="1">
      <c r="A51" s="194" t="s">
        <v>195</v>
      </c>
      <c r="B51" s="206">
        <v>1620001</v>
      </c>
      <c r="C51" s="206">
        <v>59046</v>
      </c>
      <c r="D51" s="206">
        <v>2770638</v>
      </c>
      <c r="E51" s="206">
        <v>3801538</v>
      </c>
      <c r="F51" s="206">
        <v>152540</v>
      </c>
      <c r="G51" s="206">
        <v>16965254</v>
      </c>
      <c r="H51" s="206">
        <v>1057954</v>
      </c>
      <c r="I51" s="206">
        <v>4701241</v>
      </c>
      <c r="J51" s="206">
        <v>5523632</v>
      </c>
      <c r="K51" s="207">
        <f t="shared" si="3"/>
        <v>36651844</v>
      </c>
      <c r="L51" s="205"/>
      <c r="M51" s="205"/>
      <c r="N51" s="205"/>
      <c r="O51" s="205"/>
      <c r="P51" s="205"/>
      <c r="Q51" s="205"/>
      <c r="R51" s="205"/>
      <c r="S51" s="205"/>
      <c r="T51" s="205"/>
      <c r="U51" s="205"/>
    </row>
    <row r="52" spans="1:21" ht="34.5" customHeight="1">
      <c r="A52" s="194" t="s">
        <v>196</v>
      </c>
      <c r="B52" s="206">
        <v>1572108</v>
      </c>
      <c r="C52" s="206">
        <v>59122</v>
      </c>
      <c r="D52" s="206">
        <v>3765141</v>
      </c>
      <c r="E52" s="206">
        <v>2885406</v>
      </c>
      <c r="F52" s="206">
        <v>856139</v>
      </c>
      <c r="G52" s="206">
        <v>17618302</v>
      </c>
      <c r="H52" s="206">
        <v>916371</v>
      </c>
      <c r="I52" s="206">
        <v>4598484</v>
      </c>
      <c r="J52" s="206">
        <v>6337386</v>
      </c>
      <c r="K52" s="207">
        <f t="shared" si="3"/>
        <v>38608459</v>
      </c>
      <c r="L52" s="205"/>
      <c r="M52" s="205"/>
      <c r="N52" s="205"/>
      <c r="O52" s="205"/>
      <c r="P52" s="205"/>
      <c r="Q52" s="205"/>
      <c r="R52" s="205"/>
      <c r="S52" s="205"/>
      <c r="T52" s="205"/>
      <c r="U52" s="205"/>
    </row>
    <row r="53" spans="1:21" s="195" customFormat="1" ht="34.5" customHeight="1">
      <c r="A53" s="194" t="s">
        <v>197</v>
      </c>
      <c r="B53" s="206">
        <v>3133039</v>
      </c>
      <c r="C53" s="206">
        <v>56071</v>
      </c>
      <c r="D53" s="206">
        <v>3794666</v>
      </c>
      <c r="E53" s="206">
        <v>4024954</v>
      </c>
      <c r="F53" s="206">
        <v>228585</v>
      </c>
      <c r="G53" s="206">
        <v>16892548</v>
      </c>
      <c r="H53" s="206">
        <v>893714</v>
      </c>
      <c r="I53" s="206">
        <v>2977856</v>
      </c>
      <c r="J53" s="206">
        <v>5780471</v>
      </c>
      <c r="K53" s="207">
        <f t="shared" si="3"/>
        <v>37781904</v>
      </c>
      <c r="L53" s="205"/>
      <c r="M53" s="205"/>
      <c r="N53" s="205"/>
      <c r="O53" s="205"/>
      <c r="P53" s="205"/>
      <c r="Q53" s="205"/>
      <c r="R53" s="205"/>
      <c r="S53" s="205"/>
      <c r="T53" s="205"/>
      <c r="U53" s="205"/>
    </row>
    <row r="54" spans="1:21" ht="24.75" customHeight="1">
      <c r="A54" s="194">
        <v>2004</v>
      </c>
      <c r="B54" s="206">
        <v>2806481</v>
      </c>
      <c r="C54" s="206">
        <v>327013</v>
      </c>
      <c r="D54" s="206">
        <v>23023750</v>
      </c>
      <c r="E54" s="206">
        <v>29002507</v>
      </c>
      <c r="F54" s="206">
        <v>2009475</v>
      </c>
      <c r="G54" s="206">
        <v>59495997</v>
      </c>
      <c r="H54" s="206">
        <v>8006516</v>
      </c>
      <c r="I54" s="206">
        <v>17298579</v>
      </c>
      <c r="J54" s="206">
        <v>3278531</v>
      </c>
      <c r="K54" s="207">
        <f aca="true" t="shared" si="4" ref="K54:K60">SUM(B54:J54)</f>
        <v>145248849</v>
      </c>
      <c r="L54" s="205"/>
      <c r="M54" s="205"/>
      <c r="N54" s="205"/>
      <c r="O54" s="205"/>
      <c r="P54" s="205"/>
      <c r="Q54" s="205"/>
      <c r="R54" s="205"/>
      <c r="S54" s="205"/>
      <c r="T54" s="205"/>
      <c r="U54" s="205"/>
    </row>
    <row r="55" spans="1:21" ht="23.25">
      <c r="A55" s="194">
        <v>2005</v>
      </c>
      <c r="B55" s="206">
        <v>3305430</v>
      </c>
      <c r="C55" s="206">
        <v>1280512</v>
      </c>
      <c r="D55" s="206">
        <v>20171804</v>
      </c>
      <c r="E55" s="206">
        <v>36971139</v>
      </c>
      <c r="F55" s="206">
        <v>2596276</v>
      </c>
      <c r="G55" s="206">
        <v>58779963</v>
      </c>
      <c r="H55" s="206">
        <v>16352772</v>
      </c>
      <c r="I55" s="206">
        <v>20446139</v>
      </c>
      <c r="J55" s="206">
        <v>7639152</v>
      </c>
      <c r="K55" s="207">
        <f t="shared" si="4"/>
        <v>167543187</v>
      </c>
      <c r="L55" s="205"/>
      <c r="M55" s="205"/>
      <c r="N55" s="205"/>
      <c r="O55" s="205"/>
      <c r="P55" s="205"/>
      <c r="Q55" s="205"/>
      <c r="R55" s="205"/>
      <c r="S55" s="205"/>
      <c r="T55" s="205"/>
      <c r="U55" s="205"/>
    </row>
    <row r="56" spans="1:21" ht="23.25">
      <c r="A56" s="194">
        <v>2006</v>
      </c>
      <c r="B56" s="206">
        <f>B137</f>
        <v>1768686</v>
      </c>
      <c r="C56" s="206">
        <f aca="true" t="shared" si="5" ref="C56:J56">C137</f>
        <v>3120037</v>
      </c>
      <c r="D56" s="206">
        <f t="shared" si="5"/>
        <v>18419986</v>
      </c>
      <c r="E56" s="206">
        <f t="shared" si="5"/>
        <v>37490067</v>
      </c>
      <c r="F56" s="206">
        <f t="shared" si="5"/>
        <v>4815022</v>
      </c>
      <c r="G56" s="206">
        <f t="shared" si="5"/>
        <v>66852459</v>
      </c>
      <c r="H56" s="206">
        <f t="shared" si="5"/>
        <v>24084142</v>
      </c>
      <c r="I56" s="206">
        <f t="shared" si="5"/>
        <v>41888737</v>
      </c>
      <c r="J56" s="206">
        <f t="shared" si="5"/>
        <v>3316607</v>
      </c>
      <c r="K56" s="207">
        <f t="shared" si="4"/>
        <v>201755743</v>
      </c>
      <c r="L56" s="205"/>
      <c r="M56" s="205"/>
      <c r="N56" s="205"/>
      <c r="O56" s="205"/>
      <c r="P56" s="205"/>
      <c r="Q56" s="205"/>
      <c r="R56" s="205"/>
      <c r="S56" s="205"/>
      <c r="T56" s="205"/>
      <c r="U56" s="205"/>
    </row>
    <row r="57" spans="1:21" ht="23.25">
      <c r="A57" s="194">
        <v>2007</v>
      </c>
      <c r="B57" s="206">
        <v>6938464</v>
      </c>
      <c r="C57" s="206">
        <v>4249986</v>
      </c>
      <c r="D57" s="206">
        <v>14012074</v>
      </c>
      <c r="E57" s="206">
        <v>47083525</v>
      </c>
      <c r="F57" s="206">
        <v>7047163</v>
      </c>
      <c r="G57" s="206">
        <v>80554961</v>
      </c>
      <c r="H57" s="206">
        <v>28287392</v>
      </c>
      <c r="I57" s="206">
        <v>87159502</v>
      </c>
      <c r="J57" s="206">
        <v>3950843</v>
      </c>
      <c r="K57" s="207">
        <f t="shared" si="4"/>
        <v>279283910</v>
      </c>
      <c r="L57" s="205"/>
      <c r="M57" s="205"/>
      <c r="N57" s="205"/>
      <c r="O57" s="205"/>
      <c r="P57" s="205"/>
      <c r="Q57" s="205"/>
      <c r="R57" s="205"/>
      <c r="S57" s="205"/>
      <c r="T57" s="205"/>
      <c r="U57" s="205"/>
    </row>
    <row r="58" spans="1:21" ht="23.25">
      <c r="A58" s="194">
        <v>2008</v>
      </c>
      <c r="B58" s="206">
        <v>20143285</v>
      </c>
      <c r="C58" s="206">
        <v>7893202</v>
      </c>
      <c r="D58" s="206">
        <v>37263715</v>
      </c>
      <c r="E58" s="206">
        <v>75424160</v>
      </c>
      <c r="F58" s="206">
        <v>8438782</v>
      </c>
      <c r="G58" s="206">
        <f>70066883+24072256+7057159+12733645</f>
        <v>113929943</v>
      </c>
      <c r="H58" s="206">
        <v>31846293</v>
      </c>
      <c r="I58" s="206">
        <v>132779695</v>
      </c>
      <c r="J58" s="206">
        <v>12101009</v>
      </c>
      <c r="K58" s="207">
        <f t="shared" si="4"/>
        <v>439820084</v>
      </c>
      <c r="L58" s="205"/>
      <c r="M58" s="205"/>
      <c r="N58" s="205"/>
      <c r="O58" s="205"/>
      <c r="P58" s="205"/>
      <c r="Q58" s="205"/>
      <c r="R58" s="205"/>
      <c r="S58" s="205"/>
      <c r="T58" s="205"/>
      <c r="U58" s="205"/>
    </row>
    <row r="59" spans="1:25" ht="23.25">
      <c r="A59" s="194">
        <v>2009</v>
      </c>
      <c r="B59" s="206">
        <v>31221491</v>
      </c>
      <c r="C59" s="206">
        <v>11130401</v>
      </c>
      <c r="D59" s="206">
        <v>44499403</v>
      </c>
      <c r="E59" s="206">
        <v>103356147</v>
      </c>
      <c r="F59" s="206">
        <v>4513213</v>
      </c>
      <c r="G59" s="206">
        <v>177728001</v>
      </c>
      <c r="H59" s="206">
        <v>80122224</v>
      </c>
      <c r="I59" s="206">
        <v>190901552</v>
      </c>
      <c r="J59" s="206">
        <v>15494370</v>
      </c>
      <c r="K59" s="207">
        <f t="shared" si="4"/>
        <v>658966802</v>
      </c>
      <c r="L59" s="207">
        <f aca="true" t="shared" si="6" ref="L59:R60">SUM(C59:K59)</f>
        <v>1286712113</v>
      </c>
      <c r="M59" s="207">
        <f t="shared" si="6"/>
        <v>2562293825</v>
      </c>
      <c r="N59" s="207">
        <f t="shared" si="6"/>
        <v>5080088247</v>
      </c>
      <c r="O59" s="207">
        <f t="shared" si="6"/>
        <v>10056820347</v>
      </c>
      <c r="P59" s="207">
        <f t="shared" si="6"/>
        <v>20109127481</v>
      </c>
      <c r="Q59" s="207">
        <f t="shared" si="6"/>
        <v>40040526961</v>
      </c>
      <c r="R59" s="207">
        <f t="shared" si="6"/>
        <v>80000931698</v>
      </c>
      <c r="S59" s="207">
        <f aca="true" t="shared" si="7" ref="S59:Y60">SUM(J59:R59)</f>
        <v>159810961844</v>
      </c>
      <c r="T59" s="207">
        <f t="shared" si="7"/>
        <v>319606429318</v>
      </c>
      <c r="U59" s="207">
        <f t="shared" si="7"/>
        <v>638553891834</v>
      </c>
      <c r="V59" s="207">
        <f t="shared" si="7"/>
        <v>1275821071555</v>
      </c>
      <c r="W59" s="207">
        <f t="shared" si="7"/>
        <v>2549079849285</v>
      </c>
      <c r="X59" s="207">
        <f t="shared" si="7"/>
        <v>5093079610323</v>
      </c>
      <c r="Y59" s="207">
        <f t="shared" si="7"/>
        <v>10176102400299</v>
      </c>
    </row>
    <row r="60" spans="1:25" ht="23.25">
      <c r="A60" s="194">
        <v>2010</v>
      </c>
      <c r="B60" s="206">
        <v>58493609</v>
      </c>
      <c r="C60" s="206">
        <v>16751525</v>
      </c>
      <c r="D60" s="206">
        <v>76127873</v>
      </c>
      <c r="E60" s="206">
        <v>138194813</v>
      </c>
      <c r="F60" s="206">
        <v>5525880</v>
      </c>
      <c r="G60" s="206">
        <v>259614599</v>
      </c>
      <c r="H60" s="206">
        <v>91156021</v>
      </c>
      <c r="I60" s="206">
        <v>204328239</v>
      </c>
      <c r="J60" s="206">
        <v>24512199</v>
      </c>
      <c r="K60" s="207">
        <f t="shared" si="4"/>
        <v>874704758</v>
      </c>
      <c r="L60" s="207">
        <f t="shared" si="6"/>
        <v>1690915907</v>
      </c>
      <c r="M60" s="207">
        <f t="shared" si="6"/>
        <v>3365080289</v>
      </c>
      <c r="N60" s="207">
        <f t="shared" si="6"/>
        <v>6654032705</v>
      </c>
      <c r="O60" s="207">
        <f t="shared" si="6"/>
        <v>13169870597</v>
      </c>
      <c r="P60" s="207">
        <f t="shared" si="6"/>
        <v>26334215314</v>
      </c>
      <c r="Q60" s="207">
        <f t="shared" si="6"/>
        <v>52408816029</v>
      </c>
      <c r="R60" s="207">
        <f t="shared" si="6"/>
        <v>104726476037</v>
      </c>
      <c r="S60" s="207">
        <f t="shared" si="7"/>
        <v>209248623835</v>
      </c>
      <c r="T60" s="207">
        <f t="shared" si="7"/>
        <v>418472735471</v>
      </c>
      <c r="U60" s="207">
        <f t="shared" si="7"/>
        <v>836070766184</v>
      </c>
      <c r="V60" s="207">
        <f t="shared" si="7"/>
        <v>1670450616461</v>
      </c>
      <c r="W60" s="207">
        <f t="shared" si="7"/>
        <v>3337536152633</v>
      </c>
      <c r="X60" s="207">
        <f t="shared" si="7"/>
        <v>6668418272561</v>
      </c>
      <c r="Y60" s="207">
        <f t="shared" si="7"/>
        <v>13323666674525</v>
      </c>
    </row>
    <row r="61" spans="1:11" ht="23.25">
      <c r="A61" s="194">
        <v>2011</v>
      </c>
      <c r="B61" s="206">
        <v>75994219</v>
      </c>
      <c r="C61" s="206">
        <v>29991658</v>
      </c>
      <c r="D61" s="206">
        <v>82392463</v>
      </c>
      <c r="E61" s="206">
        <v>200373352</v>
      </c>
      <c r="F61" s="206">
        <v>18640776</v>
      </c>
      <c r="G61" s="206">
        <f>201480496+44023681+61152231+12243649</f>
        <v>318900057</v>
      </c>
      <c r="H61" s="206">
        <v>100318276</v>
      </c>
      <c r="I61" s="206">
        <f>195860708+10784859+11158258</f>
        <v>217803825</v>
      </c>
      <c r="J61" s="206">
        <v>27889321</v>
      </c>
      <c r="K61" s="207">
        <f>SUM(B61:J61)</f>
        <v>1072303947</v>
      </c>
    </row>
    <row r="62" spans="1:11" ht="23.25">
      <c r="A62" s="194">
        <v>2012</v>
      </c>
      <c r="B62" s="206">
        <v>81012532</v>
      </c>
      <c r="C62" s="206">
        <v>25309105</v>
      </c>
      <c r="D62" s="206">
        <v>83935067</v>
      </c>
      <c r="E62" s="206">
        <v>201862493</v>
      </c>
      <c r="F62" s="206">
        <v>11028687</v>
      </c>
      <c r="G62" s="206">
        <v>345695631</v>
      </c>
      <c r="H62" s="206">
        <v>117243730</v>
      </c>
      <c r="I62" s="206">
        <v>242406816</v>
      </c>
      <c r="J62" s="206">
        <v>42110201</v>
      </c>
      <c r="K62" s="207">
        <f>SUM(B62:J62)</f>
        <v>1150604262</v>
      </c>
    </row>
    <row r="63" spans="1:25" ht="23.25">
      <c r="A63" s="194">
        <v>2013</v>
      </c>
      <c r="B63" s="206">
        <v>70149279</v>
      </c>
      <c r="C63" s="206">
        <v>26248058</v>
      </c>
      <c r="D63" s="206">
        <v>87170516</v>
      </c>
      <c r="E63" s="206">
        <v>218332206</v>
      </c>
      <c r="F63" s="206">
        <v>11186181</v>
      </c>
      <c r="G63" s="206">
        <v>425029277</v>
      </c>
      <c r="H63" s="206">
        <v>94436843</v>
      </c>
      <c r="I63" s="206">
        <v>293602815</v>
      </c>
      <c r="J63" s="206">
        <v>54786858</v>
      </c>
      <c r="K63" s="207">
        <v>1280942033</v>
      </c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</row>
    <row r="64" spans="1:25" ht="23.25">
      <c r="A64" s="194"/>
      <c r="B64" s="206"/>
      <c r="C64" s="206"/>
      <c r="D64" s="206"/>
      <c r="E64" s="206"/>
      <c r="F64" s="206"/>
      <c r="G64" s="206"/>
      <c r="H64" s="206"/>
      <c r="I64" s="206"/>
      <c r="J64" s="206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</row>
    <row r="65" spans="1:21" ht="34.5" customHeight="1">
      <c r="A65" s="194">
        <v>2002</v>
      </c>
      <c r="B65" s="206"/>
      <c r="C65" s="206"/>
      <c r="D65" s="206"/>
      <c r="E65" s="206"/>
      <c r="F65" s="206"/>
      <c r="G65" s="206"/>
      <c r="H65" s="206"/>
      <c r="I65" s="206"/>
      <c r="J65" s="206"/>
      <c r="K65" s="207">
        <f aca="true" t="shared" si="8" ref="K65:K77">SUM(B65:J65)</f>
        <v>0</v>
      </c>
      <c r="L65" s="205"/>
      <c r="M65" s="205"/>
      <c r="N65" s="205"/>
      <c r="O65" s="205"/>
      <c r="P65" s="205"/>
      <c r="Q65" s="205"/>
      <c r="R65" s="205"/>
      <c r="S65" s="205"/>
      <c r="T65" s="205"/>
      <c r="U65" s="205"/>
    </row>
    <row r="66" spans="1:21" ht="23.25">
      <c r="A66" s="194" t="s">
        <v>187</v>
      </c>
      <c r="B66" s="206">
        <v>1796421</v>
      </c>
      <c r="C66" s="206">
        <v>56144</v>
      </c>
      <c r="D66" s="206">
        <v>4445187</v>
      </c>
      <c r="E66" s="206">
        <v>5746215</v>
      </c>
      <c r="F66" s="206">
        <v>172019</v>
      </c>
      <c r="G66" s="206">
        <v>15119846</v>
      </c>
      <c r="H66" s="206">
        <v>824291</v>
      </c>
      <c r="I66" s="206">
        <v>2858885</v>
      </c>
      <c r="J66" s="206">
        <v>9099062</v>
      </c>
      <c r="K66" s="207">
        <f t="shared" si="8"/>
        <v>40118070</v>
      </c>
      <c r="L66" s="205">
        <f aca="true" t="shared" si="9" ref="L66:L77">B66/$K66*100</f>
        <v>4.477835050390011</v>
      </c>
      <c r="M66" s="205">
        <f aca="true" t="shared" si="10" ref="M66:M77">C66/$K66*100</f>
        <v>0.13994691170337953</v>
      </c>
      <c r="N66" s="205">
        <f aca="true" t="shared" si="11" ref="N66:N77">D66/$K66*100</f>
        <v>11.080261338593806</v>
      </c>
      <c r="O66" s="205">
        <f aca="true" t="shared" si="12" ref="O66:O77">E66/$K66*100</f>
        <v>14.323258820775775</v>
      </c>
      <c r="P66" s="205">
        <f aca="true" t="shared" si="13" ref="P66:P77">F66/$K66*100</f>
        <v>0.4287818431943511</v>
      </c>
      <c r="Q66" s="205">
        <f aca="true" t="shared" si="14" ref="Q66:Q77">G66/$K66*100</f>
        <v>37.68836835869722</v>
      </c>
      <c r="R66" s="205">
        <f aca="true" t="shared" si="15" ref="R66:R77">H66/$K66*100</f>
        <v>2.054662649524267</v>
      </c>
      <c r="S66" s="205">
        <f aca="true" t="shared" si="16" ref="S66:S77">I66/$K66*100</f>
        <v>7.12617780466508</v>
      </c>
      <c r="T66" s="205">
        <f aca="true" t="shared" si="17" ref="T66:T77">J66/$K66*100</f>
        <v>22.680707222456114</v>
      </c>
      <c r="U66" s="205">
        <f aca="true" t="shared" si="18" ref="U66:U77">K66/$K66*100</f>
        <v>100</v>
      </c>
    </row>
    <row r="67" spans="1:21" ht="23.25">
      <c r="A67" s="194" t="s">
        <v>188</v>
      </c>
      <c r="B67" s="206">
        <v>1699906</v>
      </c>
      <c r="C67" s="206">
        <v>52903</v>
      </c>
      <c r="D67" s="206">
        <v>4104344</v>
      </c>
      <c r="E67" s="206">
        <v>5337141</v>
      </c>
      <c r="F67" s="206">
        <v>81636</v>
      </c>
      <c r="G67" s="206">
        <v>17263675</v>
      </c>
      <c r="H67" s="206">
        <v>709621</v>
      </c>
      <c r="I67" s="206">
        <v>3020540</v>
      </c>
      <c r="J67" s="206">
        <v>9277956</v>
      </c>
      <c r="K67" s="207">
        <f t="shared" si="8"/>
        <v>41547722</v>
      </c>
      <c r="L67" s="205">
        <f t="shared" si="9"/>
        <v>4.091454159628776</v>
      </c>
      <c r="M67" s="205">
        <f t="shared" si="10"/>
        <v>0.12733068734791284</v>
      </c>
      <c r="N67" s="205">
        <f t="shared" si="11"/>
        <v>9.878625836574145</v>
      </c>
      <c r="O67" s="205">
        <f t="shared" si="12"/>
        <v>12.845808971187397</v>
      </c>
      <c r="P67" s="205">
        <f t="shared" si="13"/>
        <v>0.1964873068131148</v>
      </c>
      <c r="Q67" s="205">
        <f t="shared" si="14"/>
        <v>41.55143572011</v>
      </c>
      <c r="R67" s="205">
        <f t="shared" si="15"/>
        <v>1.7079660829539582</v>
      </c>
      <c r="S67" s="205">
        <f t="shared" si="16"/>
        <v>7.270049607051862</v>
      </c>
      <c r="T67" s="205">
        <f t="shared" si="17"/>
        <v>22.330841628332838</v>
      </c>
      <c r="U67" s="205">
        <f t="shared" si="18"/>
        <v>100</v>
      </c>
    </row>
    <row r="68" spans="1:21" ht="23.25">
      <c r="A68" s="194" t="s">
        <v>189</v>
      </c>
      <c r="B68" s="206">
        <v>1765115</v>
      </c>
      <c r="C68" s="206">
        <v>56301</v>
      </c>
      <c r="D68" s="206">
        <v>5490373</v>
      </c>
      <c r="E68" s="206">
        <v>6270264</v>
      </c>
      <c r="F68" s="206">
        <v>97136</v>
      </c>
      <c r="G68" s="206">
        <v>20750756</v>
      </c>
      <c r="H68" s="206">
        <v>1082918</v>
      </c>
      <c r="I68" s="206">
        <v>3526596</v>
      </c>
      <c r="J68" s="206">
        <v>7361994</v>
      </c>
      <c r="K68" s="207">
        <f t="shared" si="8"/>
        <v>46401453</v>
      </c>
      <c r="L68" s="205">
        <f t="shared" si="9"/>
        <v>3.8040080339725573</v>
      </c>
      <c r="M68" s="205">
        <f t="shared" si="10"/>
        <v>0.12133456251897973</v>
      </c>
      <c r="N68" s="205">
        <f t="shared" si="11"/>
        <v>11.832329905703599</v>
      </c>
      <c r="O68" s="205">
        <f t="shared" si="12"/>
        <v>13.513076842658354</v>
      </c>
      <c r="P68" s="205">
        <f t="shared" si="13"/>
        <v>0.2093382722303976</v>
      </c>
      <c r="Q68" s="205">
        <f t="shared" si="14"/>
        <v>44.72005650340303</v>
      </c>
      <c r="R68" s="205">
        <f t="shared" si="15"/>
        <v>2.3338019177977034</v>
      </c>
      <c r="S68" s="205">
        <f t="shared" si="16"/>
        <v>7.60018441663885</v>
      </c>
      <c r="T68" s="205">
        <f t="shared" si="17"/>
        <v>15.86586954507653</v>
      </c>
      <c r="U68" s="205">
        <f t="shared" si="18"/>
        <v>100</v>
      </c>
    </row>
    <row r="69" spans="1:21" ht="23.25">
      <c r="A69" s="194" t="s">
        <v>190</v>
      </c>
      <c r="B69" s="206">
        <v>1805052</v>
      </c>
      <c r="C69" s="206">
        <v>56303</v>
      </c>
      <c r="D69" s="206">
        <v>5836569</v>
      </c>
      <c r="E69" s="206">
        <v>5064100</v>
      </c>
      <c r="F69" s="206">
        <v>73794</v>
      </c>
      <c r="G69" s="206">
        <v>21708896</v>
      </c>
      <c r="H69" s="206">
        <v>1051069</v>
      </c>
      <c r="I69" s="206">
        <v>3340444</v>
      </c>
      <c r="J69" s="206">
        <v>7033180</v>
      </c>
      <c r="K69" s="207">
        <f t="shared" si="8"/>
        <v>45969407</v>
      </c>
      <c r="L69" s="205">
        <f t="shared" si="9"/>
        <v>3.926637557016996</v>
      </c>
      <c r="M69" s="205">
        <f t="shared" si="10"/>
        <v>0.12247928279779637</v>
      </c>
      <c r="N69" s="205">
        <f t="shared" si="11"/>
        <v>12.69663757028669</v>
      </c>
      <c r="O69" s="205">
        <f t="shared" si="12"/>
        <v>11.01623956123689</v>
      </c>
      <c r="P69" s="205">
        <f t="shared" si="13"/>
        <v>0.16052850105288502</v>
      </c>
      <c r="Q69" s="205">
        <f t="shared" si="14"/>
        <v>47.22465965245103</v>
      </c>
      <c r="R69" s="205">
        <f t="shared" si="15"/>
        <v>2.2864532492229017</v>
      </c>
      <c r="S69" s="205">
        <f t="shared" si="16"/>
        <v>7.266667590469461</v>
      </c>
      <c r="T69" s="205">
        <f t="shared" si="17"/>
        <v>15.299697035465348</v>
      </c>
      <c r="U69" s="205">
        <f t="shared" si="18"/>
        <v>100</v>
      </c>
    </row>
    <row r="70" spans="1:21" ht="23.25">
      <c r="A70" s="194" t="s">
        <v>29</v>
      </c>
      <c r="B70" s="206">
        <v>1738733</v>
      </c>
      <c r="C70" s="206">
        <v>226380</v>
      </c>
      <c r="D70" s="206">
        <v>3820815</v>
      </c>
      <c r="E70" s="206">
        <v>5636134</v>
      </c>
      <c r="F70" s="206">
        <v>79606</v>
      </c>
      <c r="G70" s="206">
        <v>17892273</v>
      </c>
      <c r="H70" s="206">
        <v>887269</v>
      </c>
      <c r="I70" s="206">
        <v>4281802</v>
      </c>
      <c r="J70" s="206">
        <v>8569068</v>
      </c>
      <c r="K70" s="207">
        <f t="shared" si="8"/>
        <v>43132080</v>
      </c>
      <c r="L70" s="205">
        <f t="shared" si="9"/>
        <v>4.031182822622976</v>
      </c>
      <c r="M70" s="205">
        <f t="shared" si="10"/>
        <v>0.5248529632700301</v>
      </c>
      <c r="N70" s="205">
        <f t="shared" si="11"/>
        <v>8.858406550298525</v>
      </c>
      <c r="O70" s="205">
        <f t="shared" si="12"/>
        <v>13.067150946580828</v>
      </c>
      <c r="P70" s="205">
        <f t="shared" si="13"/>
        <v>0.18456332270551293</v>
      </c>
      <c r="Q70" s="205">
        <f t="shared" si="14"/>
        <v>41.48251834829203</v>
      </c>
      <c r="R70" s="205">
        <f t="shared" si="15"/>
        <v>2.057097640549679</v>
      </c>
      <c r="S70" s="205">
        <f t="shared" si="16"/>
        <v>9.927186446839569</v>
      </c>
      <c r="T70" s="205">
        <f t="shared" si="17"/>
        <v>19.867040958840846</v>
      </c>
      <c r="U70" s="205">
        <f t="shared" si="18"/>
        <v>100</v>
      </c>
    </row>
    <row r="71" spans="1:21" ht="23.25">
      <c r="A71" s="194" t="s">
        <v>191</v>
      </c>
      <c r="B71" s="206">
        <v>1529791</v>
      </c>
      <c r="C71" s="206">
        <v>275822</v>
      </c>
      <c r="D71" s="206">
        <v>3543600</v>
      </c>
      <c r="E71" s="206">
        <v>5651405</v>
      </c>
      <c r="F71" s="206">
        <v>60775</v>
      </c>
      <c r="G71" s="206">
        <v>20359538</v>
      </c>
      <c r="H71" s="206">
        <v>755324</v>
      </c>
      <c r="I71" s="206">
        <v>4767450</v>
      </c>
      <c r="J71" s="206">
        <v>7714776</v>
      </c>
      <c r="K71" s="207">
        <f t="shared" si="8"/>
        <v>44658481</v>
      </c>
      <c r="L71" s="205">
        <f t="shared" si="9"/>
        <v>3.425532991146743</v>
      </c>
      <c r="M71" s="205">
        <f t="shared" si="10"/>
        <v>0.6176251270167474</v>
      </c>
      <c r="N71" s="205">
        <f t="shared" si="11"/>
        <v>7.9348869926856676</v>
      </c>
      <c r="O71" s="205">
        <f t="shared" si="12"/>
        <v>12.654718372530404</v>
      </c>
      <c r="P71" s="205">
        <f t="shared" si="13"/>
        <v>0.13608837255346862</v>
      </c>
      <c r="Q71" s="205">
        <f t="shared" si="14"/>
        <v>45.58940999359114</v>
      </c>
      <c r="R71" s="205">
        <f t="shared" si="15"/>
        <v>1.691333836455387</v>
      </c>
      <c r="S71" s="205">
        <f t="shared" si="16"/>
        <v>10.675351900123966</v>
      </c>
      <c r="T71" s="205">
        <f t="shared" si="17"/>
        <v>17.27505241389648</v>
      </c>
      <c r="U71" s="205">
        <f t="shared" si="18"/>
        <v>100</v>
      </c>
    </row>
    <row r="72" spans="1:21" ht="23.25">
      <c r="A72" s="194" t="s">
        <v>192</v>
      </c>
      <c r="B72" s="206">
        <v>1308915</v>
      </c>
      <c r="C72" s="206">
        <v>263732</v>
      </c>
      <c r="D72" s="206">
        <v>3794968</v>
      </c>
      <c r="E72" s="206">
        <v>5852939</v>
      </c>
      <c r="F72" s="206">
        <v>111504</v>
      </c>
      <c r="G72" s="206">
        <v>17765144</v>
      </c>
      <c r="H72" s="206">
        <v>1404704</v>
      </c>
      <c r="I72" s="206">
        <v>4860163</v>
      </c>
      <c r="J72" s="206">
        <v>10597049</v>
      </c>
      <c r="K72" s="207">
        <f t="shared" si="8"/>
        <v>45959118</v>
      </c>
      <c r="L72" s="205">
        <f t="shared" si="9"/>
        <v>2.8479985190316315</v>
      </c>
      <c r="M72" s="205">
        <f t="shared" si="10"/>
        <v>0.573840429226688</v>
      </c>
      <c r="N72" s="205">
        <f t="shared" si="11"/>
        <v>8.257268992847077</v>
      </c>
      <c r="O72" s="205">
        <f t="shared" si="12"/>
        <v>12.73509861525193</v>
      </c>
      <c r="P72" s="205">
        <f t="shared" si="13"/>
        <v>0.24261562199692344</v>
      </c>
      <c r="Q72" s="205">
        <f t="shared" si="14"/>
        <v>38.65423178921754</v>
      </c>
      <c r="R72" s="205">
        <f t="shared" si="15"/>
        <v>3.05642070850881</v>
      </c>
      <c r="S72" s="205">
        <f t="shared" si="16"/>
        <v>10.574970128887156</v>
      </c>
      <c r="T72" s="205">
        <f t="shared" si="17"/>
        <v>23.057555195032243</v>
      </c>
      <c r="U72" s="205">
        <f t="shared" si="18"/>
        <v>100</v>
      </c>
    </row>
    <row r="73" spans="1:21" ht="23.25">
      <c r="A73" s="194" t="s">
        <v>193</v>
      </c>
      <c r="B73" s="206">
        <v>804565</v>
      </c>
      <c r="C73" s="206">
        <v>261634</v>
      </c>
      <c r="D73" s="206">
        <v>4377995</v>
      </c>
      <c r="E73" s="206">
        <v>6086784</v>
      </c>
      <c r="F73" s="206">
        <v>103713</v>
      </c>
      <c r="G73" s="206">
        <v>19433173</v>
      </c>
      <c r="H73" s="206">
        <v>1555502</v>
      </c>
      <c r="I73" s="206">
        <v>7148372</v>
      </c>
      <c r="J73" s="206">
        <v>9670871</v>
      </c>
      <c r="K73" s="207">
        <f t="shared" si="8"/>
        <v>49442609</v>
      </c>
      <c r="L73" s="205">
        <f t="shared" si="9"/>
        <v>1.6272705188352825</v>
      </c>
      <c r="M73" s="205">
        <f t="shared" si="10"/>
        <v>0.5291670591250555</v>
      </c>
      <c r="N73" s="205">
        <f t="shared" si="11"/>
        <v>8.85470060853787</v>
      </c>
      <c r="O73" s="205">
        <f t="shared" si="12"/>
        <v>12.310806656663283</v>
      </c>
      <c r="P73" s="205">
        <f t="shared" si="13"/>
        <v>0.20976441595143167</v>
      </c>
      <c r="Q73" s="205">
        <f t="shared" si="14"/>
        <v>39.304505553094906</v>
      </c>
      <c r="R73" s="205">
        <f t="shared" si="15"/>
        <v>3.1460758877024473</v>
      </c>
      <c r="S73" s="205">
        <f t="shared" si="16"/>
        <v>14.457918270453728</v>
      </c>
      <c r="T73" s="205">
        <f t="shared" si="17"/>
        <v>19.559791029636</v>
      </c>
      <c r="U73" s="205">
        <f t="shared" si="18"/>
        <v>100</v>
      </c>
    </row>
    <row r="74" spans="1:21" ht="23.25">
      <c r="A74" s="194" t="s">
        <v>194</v>
      </c>
      <c r="B74" s="206">
        <v>1036493</v>
      </c>
      <c r="C74" s="206">
        <v>213490</v>
      </c>
      <c r="D74" s="206">
        <v>3647377</v>
      </c>
      <c r="E74" s="206">
        <v>7452424</v>
      </c>
      <c r="F74" s="206">
        <v>581734</v>
      </c>
      <c r="G74" s="206">
        <v>17820378</v>
      </c>
      <c r="H74" s="206">
        <v>1490797</v>
      </c>
      <c r="I74" s="206">
        <v>6321994</v>
      </c>
      <c r="J74" s="206">
        <v>11625476</v>
      </c>
      <c r="K74" s="207">
        <f t="shared" si="8"/>
        <v>50190163</v>
      </c>
      <c r="L74" s="205">
        <f t="shared" si="9"/>
        <v>2.0651317669560068</v>
      </c>
      <c r="M74" s="205">
        <f t="shared" si="10"/>
        <v>0.42536223681919505</v>
      </c>
      <c r="N74" s="205">
        <f t="shared" si="11"/>
        <v>7.267115271173756</v>
      </c>
      <c r="O74" s="205">
        <f t="shared" si="12"/>
        <v>14.848375766382746</v>
      </c>
      <c r="P74" s="205">
        <f t="shared" si="13"/>
        <v>1.1590597942469325</v>
      </c>
      <c r="Q74" s="205">
        <f t="shared" si="14"/>
        <v>35.50571852097791</v>
      </c>
      <c r="R74" s="205">
        <f t="shared" si="15"/>
        <v>2.970297187518598</v>
      </c>
      <c r="S74" s="205">
        <f t="shared" si="16"/>
        <v>12.596081825835073</v>
      </c>
      <c r="T74" s="205">
        <f t="shared" si="17"/>
        <v>23.162857630089782</v>
      </c>
      <c r="U74" s="205">
        <f t="shared" si="18"/>
        <v>100</v>
      </c>
    </row>
    <row r="75" spans="1:21" ht="23.25">
      <c r="A75" s="194" t="s">
        <v>195</v>
      </c>
      <c r="B75" s="206">
        <v>701300</v>
      </c>
      <c r="C75" s="206">
        <v>218300</v>
      </c>
      <c r="D75" s="206">
        <v>3924269</v>
      </c>
      <c r="E75" s="206">
        <v>8068487</v>
      </c>
      <c r="F75" s="206">
        <v>617040</v>
      </c>
      <c r="G75" s="206">
        <v>22449960</v>
      </c>
      <c r="H75" s="206">
        <v>1297436</v>
      </c>
      <c r="I75" s="206">
        <v>4044315</v>
      </c>
      <c r="J75" s="206">
        <v>13416609</v>
      </c>
      <c r="K75" s="207">
        <f t="shared" si="8"/>
        <v>54737716</v>
      </c>
      <c r="L75" s="205">
        <f t="shared" si="9"/>
        <v>1.281200698984225</v>
      </c>
      <c r="M75" s="205">
        <f t="shared" si="10"/>
        <v>0.39881094052225347</v>
      </c>
      <c r="N75" s="205">
        <f t="shared" si="11"/>
        <v>7.169223136749074</v>
      </c>
      <c r="O75" s="205">
        <f t="shared" si="12"/>
        <v>14.740269762077759</v>
      </c>
      <c r="P75" s="205">
        <f t="shared" si="13"/>
        <v>1.1272666181394928</v>
      </c>
      <c r="Q75" s="205">
        <f t="shared" si="14"/>
        <v>41.01369520058162</v>
      </c>
      <c r="R75" s="205">
        <f t="shared" si="15"/>
        <v>2.370277926832022</v>
      </c>
      <c r="S75" s="205">
        <f t="shared" si="16"/>
        <v>7.388534443052026</v>
      </c>
      <c r="T75" s="205">
        <f t="shared" si="17"/>
        <v>24.510721273061524</v>
      </c>
      <c r="U75" s="205">
        <f t="shared" si="18"/>
        <v>100</v>
      </c>
    </row>
    <row r="76" spans="1:21" ht="23.25">
      <c r="A76" s="194" t="s">
        <v>196</v>
      </c>
      <c r="B76" s="206">
        <v>790755</v>
      </c>
      <c r="C76" s="206">
        <v>226784</v>
      </c>
      <c r="D76" s="206">
        <v>4713700</v>
      </c>
      <c r="E76" s="206">
        <v>7473571</v>
      </c>
      <c r="F76" s="206">
        <v>194128</v>
      </c>
      <c r="G76" s="206">
        <v>19559580</v>
      </c>
      <c r="H76" s="206">
        <v>566943</v>
      </c>
      <c r="I76" s="206">
        <v>6859982</v>
      </c>
      <c r="J76" s="206">
        <v>14082717</v>
      </c>
      <c r="K76" s="207">
        <f t="shared" si="8"/>
        <v>54468160</v>
      </c>
      <c r="L76" s="205">
        <f t="shared" si="9"/>
        <v>1.4517747616222028</v>
      </c>
      <c r="M76" s="205">
        <f t="shared" si="10"/>
        <v>0.41636067750406847</v>
      </c>
      <c r="N76" s="205">
        <f t="shared" si="11"/>
        <v>8.654046694435795</v>
      </c>
      <c r="O76" s="205">
        <f t="shared" si="12"/>
        <v>13.720990391450712</v>
      </c>
      <c r="P76" s="205">
        <f t="shared" si="13"/>
        <v>0.3564063849412207</v>
      </c>
      <c r="Q76" s="205">
        <f t="shared" si="14"/>
        <v>35.910117029839085</v>
      </c>
      <c r="R76" s="205">
        <f t="shared" si="15"/>
        <v>1.0408704828655861</v>
      </c>
      <c r="S76" s="205">
        <f t="shared" si="16"/>
        <v>12.594480885713782</v>
      </c>
      <c r="T76" s="205">
        <f t="shared" si="17"/>
        <v>25.85495269162755</v>
      </c>
      <c r="U76" s="205">
        <f t="shared" si="18"/>
        <v>100</v>
      </c>
    </row>
    <row r="77" spans="1:21" ht="23.25">
      <c r="A77" s="194" t="s">
        <v>197</v>
      </c>
      <c r="B77" s="206">
        <v>657317</v>
      </c>
      <c r="C77" s="206">
        <v>203382</v>
      </c>
      <c r="D77" s="206">
        <v>4720970</v>
      </c>
      <c r="E77" s="206">
        <v>9134286</v>
      </c>
      <c r="F77" s="206">
        <v>523010</v>
      </c>
      <c r="G77" s="206">
        <v>25474431</v>
      </c>
      <c r="H77" s="206">
        <v>596648</v>
      </c>
      <c r="I77" s="206">
        <v>3943658</v>
      </c>
      <c r="J77" s="206">
        <v>13390857</v>
      </c>
      <c r="K77" s="207">
        <f t="shared" si="8"/>
        <v>58644559</v>
      </c>
      <c r="L77" s="205">
        <f t="shared" si="9"/>
        <v>1.120849079963241</v>
      </c>
      <c r="M77" s="205">
        <f t="shared" si="10"/>
        <v>0.3468045518084636</v>
      </c>
      <c r="N77" s="205">
        <f t="shared" si="11"/>
        <v>8.05014153145904</v>
      </c>
      <c r="O77" s="205">
        <f t="shared" si="12"/>
        <v>15.575675144901338</v>
      </c>
      <c r="P77" s="205">
        <f t="shared" si="13"/>
        <v>0.8918303912900086</v>
      </c>
      <c r="Q77" s="205">
        <f t="shared" si="14"/>
        <v>43.43869479860869</v>
      </c>
      <c r="R77" s="205">
        <f t="shared" si="15"/>
        <v>1.0173970274036845</v>
      </c>
      <c r="S77" s="205">
        <f t="shared" si="16"/>
        <v>6.724678413900256</v>
      </c>
      <c r="T77" s="205">
        <f t="shared" si="17"/>
        <v>22.833929060665287</v>
      </c>
      <c r="U77" s="205">
        <f t="shared" si="18"/>
        <v>100</v>
      </c>
    </row>
    <row r="78" spans="1:25" ht="23.25">
      <c r="A78" s="194"/>
      <c r="B78" s="206"/>
      <c r="C78" s="206"/>
      <c r="D78" s="206"/>
      <c r="E78" s="206"/>
      <c r="F78" s="206"/>
      <c r="G78" s="206"/>
      <c r="H78" s="206"/>
      <c r="I78" s="206"/>
      <c r="J78" s="206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</row>
    <row r="79" spans="1:21" ht="23.25">
      <c r="A79" s="194">
        <v>2003</v>
      </c>
      <c r="B79" s="206"/>
      <c r="C79" s="206"/>
      <c r="D79" s="206"/>
      <c r="E79" s="206"/>
      <c r="F79" s="206"/>
      <c r="G79" s="206"/>
      <c r="H79" s="206"/>
      <c r="I79" s="206"/>
      <c r="J79" s="206"/>
      <c r="K79" s="207"/>
      <c r="L79" s="205"/>
      <c r="M79" s="205"/>
      <c r="N79" s="205"/>
      <c r="O79" s="205"/>
      <c r="P79" s="205"/>
      <c r="Q79" s="205"/>
      <c r="R79" s="205"/>
      <c r="S79" s="205"/>
      <c r="T79" s="205"/>
      <c r="U79" s="205"/>
    </row>
    <row r="80" spans="1:21" ht="23.25">
      <c r="A80" s="194" t="s">
        <v>187</v>
      </c>
      <c r="B80" s="208">
        <v>624697</v>
      </c>
      <c r="C80" s="208">
        <v>178885</v>
      </c>
      <c r="D80" s="208">
        <v>5523279</v>
      </c>
      <c r="E80" s="208">
        <v>7137134</v>
      </c>
      <c r="F80" s="208">
        <v>218616</v>
      </c>
      <c r="G80" s="208">
        <v>27836420</v>
      </c>
      <c r="H80" s="208">
        <v>649582</v>
      </c>
      <c r="I80" s="208">
        <v>3996169</v>
      </c>
      <c r="J80" s="208">
        <v>15717211</v>
      </c>
      <c r="K80" s="209">
        <f aca="true" t="shared" si="19" ref="K80:K91">SUM(B80:J80)</f>
        <v>61881993</v>
      </c>
      <c r="L80" s="205">
        <f aca="true" t="shared" si="20" ref="L80:L91">B80/$K80*100</f>
        <v>1.0094972215907783</v>
      </c>
      <c r="M80" s="205">
        <f aca="true" t="shared" si="21" ref="M80:M91">C80/$K80*100</f>
        <v>0.28907440004396756</v>
      </c>
      <c r="N80" s="205">
        <f aca="true" t="shared" si="22" ref="N80:N91">D80/$K80*100</f>
        <v>8.925502771056518</v>
      </c>
      <c r="O80" s="205">
        <f aca="true" t="shared" si="23" ref="O80:O91">E80/$K80*100</f>
        <v>11.53345852968892</v>
      </c>
      <c r="P80" s="205">
        <f aca="true" t="shared" si="24" ref="P80:P91">F80/$K80*100</f>
        <v>0.35327886094424915</v>
      </c>
      <c r="Q80" s="205">
        <f aca="true" t="shared" si="25" ref="Q80:Q91">G80/$K80*100</f>
        <v>44.98306963061128</v>
      </c>
      <c r="R80" s="205">
        <f aca="true" t="shared" si="26" ref="R80:R91">H80/$K80*100</f>
        <v>1.0497108585368282</v>
      </c>
      <c r="S80" s="205">
        <f aca="true" t="shared" si="27" ref="S80:S91">I80/$K80*100</f>
        <v>6.457725109144433</v>
      </c>
      <c r="T80" s="205">
        <f aca="true" t="shared" si="28" ref="T80:T91">J80/$K80*100</f>
        <v>25.398682618383024</v>
      </c>
      <c r="U80" s="205">
        <f aca="true" t="shared" si="29" ref="U80:U91">K80/$K80*100</f>
        <v>100</v>
      </c>
    </row>
    <row r="81" spans="1:21" ht="23.25">
      <c r="A81" s="194" t="s">
        <v>188</v>
      </c>
      <c r="B81" s="208">
        <v>748291</v>
      </c>
      <c r="C81" s="208">
        <v>219952</v>
      </c>
      <c r="D81" s="208">
        <v>5814215</v>
      </c>
      <c r="E81" s="208">
        <v>10659511</v>
      </c>
      <c r="F81" s="208">
        <v>233686</v>
      </c>
      <c r="G81" s="208">
        <v>27575391</v>
      </c>
      <c r="H81" s="208">
        <v>2287395</v>
      </c>
      <c r="I81" s="208">
        <v>5171570</v>
      </c>
      <c r="J81" s="208">
        <v>14914330</v>
      </c>
      <c r="K81" s="209">
        <f t="shared" si="19"/>
        <v>67624341</v>
      </c>
      <c r="L81" s="205">
        <f t="shared" si="20"/>
        <v>1.1065409125391699</v>
      </c>
      <c r="M81" s="205">
        <f t="shared" si="21"/>
        <v>0.3252556649683285</v>
      </c>
      <c r="N81" s="205">
        <f t="shared" si="22"/>
        <v>8.597813914371454</v>
      </c>
      <c r="O81" s="205">
        <f t="shared" si="23"/>
        <v>15.762831611179767</v>
      </c>
      <c r="P81" s="205">
        <f t="shared" si="24"/>
        <v>0.34556492018162516</v>
      </c>
      <c r="Q81" s="205">
        <f t="shared" si="25"/>
        <v>40.77731567099486</v>
      </c>
      <c r="R81" s="205">
        <f t="shared" si="26"/>
        <v>3.382502463129364</v>
      </c>
      <c r="S81" s="205">
        <f t="shared" si="27"/>
        <v>7.647497814433415</v>
      </c>
      <c r="T81" s="205">
        <f t="shared" si="28"/>
        <v>22.05467702820202</v>
      </c>
      <c r="U81" s="205">
        <f t="shared" si="29"/>
        <v>100</v>
      </c>
    </row>
    <row r="82" spans="1:21" ht="23.25">
      <c r="A82" s="194" t="s">
        <v>189</v>
      </c>
      <c r="B82" s="208">
        <v>733850</v>
      </c>
      <c r="C82" s="208">
        <v>135531</v>
      </c>
      <c r="D82" s="208">
        <v>6201692</v>
      </c>
      <c r="E82" s="208">
        <v>10608463</v>
      </c>
      <c r="F82" s="208">
        <v>316085</v>
      </c>
      <c r="G82" s="208">
        <v>26670375</v>
      </c>
      <c r="H82" s="208">
        <v>2976918</v>
      </c>
      <c r="I82" s="208">
        <v>5571047</v>
      </c>
      <c r="J82" s="208">
        <v>17247274</v>
      </c>
      <c r="K82" s="209">
        <f t="shared" si="19"/>
        <v>70461235</v>
      </c>
      <c r="L82" s="205">
        <f t="shared" si="20"/>
        <v>1.0414946601489457</v>
      </c>
      <c r="M82" s="205">
        <f t="shared" si="21"/>
        <v>0.19234831748265552</v>
      </c>
      <c r="N82" s="205">
        <f t="shared" si="22"/>
        <v>8.801565853905343</v>
      </c>
      <c r="O82" s="205">
        <f t="shared" si="23"/>
        <v>15.055743771734912</v>
      </c>
      <c r="P82" s="205">
        <f t="shared" si="24"/>
        <v>0.448594180899611</v>
      </c>
      <c r="Q82" s="205">
        <f t="shared" si="25"/>
        <v>37.851131902527676</v>
      </c>
      <c r="R82" s="205">
        <f t="shared" si="26"/>
        <v>4.224901820128472</v>
      </c>
      <c r="S82" s="205">
        <f t="shared" si="27"/>
        <v>7.906541802737349</v>
      </c>
      <c r="T82" s="205">
        <f t="shared" si="28"/>
        <v>24.477677690435033</v>
      </c>
      <c r="U82" s="205">
        <f t="shared" si="29"/>
        <v>100</v>
      </c>
    </row>
    <row r="83" spans="1:21" ht="23.25">
      <c r="A83" s="194" t="s">
        <v>190</v>
      </c>
      <c r="B83" s="208">
        <v>807167</v>
      </c>
      <c r="C83" s="208">
        <v>138363</v>
      </c>
      <c r="D83" s="208">
        <v>6301751</v>
      </c>
      <c r="E83" s="208">
        <v>10934291</v>
      </c>
      <c r="F83" s="208">
        <v>237207</v>
      </c>
      <c r="G83" s="208">
        <v>27210646</v>
      </c>
      <c r="H83" s="208">
        <v>3656496</v>
      </c>
      <c r="I83" s="208">
        <v>4869801</v>
      </c>
      <c r="J83" s="208">
        <v>16509448</v>
      </c>
      <c r="K83" s="209">
        <f t="shared" si="19"/>
        <v>70665170</v>
      </c>
      <c r="L83" s="205">
        <f t="shared" si="20"/>
        <v>1.142241644646153</v>
      </c>
      <c r="M83" s="205">
        <f t="shared" si="21"/>
        <v>0.19580084502733103</v>
      </c>
      <c r="N83" s="205">
        <f t="shared" si="22"/>
        <v>8.917761041259789</v>
      </c>
      <c r="O83" s="205">
        <f t="shared" si="23"/>
        <v>15.473381016418697</v>
      </c>
      <c r="P83" s="205">
        <f t="shared" si="24"/>
        <v>0.3356773924126978</v>
      </c>
      <c r="Q83" s="205">
        <f t="shared" si="25"/>
        <v>38.506446669554464</v>
      </c>
      <c r="R83" s="205">
        <f t="shared" si="26"/>
        <v>5.1743963822630015</v>
      </c>
      <c r="S83" s="205">
        <f t="shared" si="27"/>
        <v>6.891373784284394</v>
      </c>
      <c r="T83" s="205">
        <f t="shared" si="28"/>
        <v>23.362921224133473</v>
      </c>
      <c r="U83" s="205">
        <f t="shared" si="29"/>
        <v>100</v>
      </c>
    </row>
    <row r="84" spans="1:21" ht="23.25">
      <c r="A84" s="194" t="s">
        <v>29</v>
      </c>
      <c r="B84" s="208">
        <v>1114344</v>
      </c>
      <c r="C84" s="208">
        <v>204478</v>
      </c>
      <c r="D84" s="208">
        <v>6179489</v>
      </c>
      <c r="E84" s="208">
        <v>9911294</v>
      </c>
      <c r="F84" s="208">
        <v>334192</v>
      </c>
      <c r="G84" s="208">
        <v>28156251</v>
      </c>
      <c r="H84" s="208">
        <v>2956360</v>
      </c>
      <c r="I84" s="208">
        <v>6654822</v>
      </c>
      <c r="J84" s="208">
        <v>15639097</v>
      </c>
      <c r="K84" s="209">
        <f t="shared" si="19"/>
        <v>71150327</v>
      </c>
      <c r="L84" s="205">
        <f t="shared" si="20"/>
        <v>1.5661825419298496</v>
      </c>
      <c r="M84" s="205">
        <f t="shared" si="21"/>
        <v>0.2873887002655659</v>
      </c>
      <c r="N84" s="205">
        <f t="shared" si="22"/>
        <v>8.685116795035952</v>
      </c>
      <c r="O84" s="205">
        <f t="shared" si="23"/>
        <v>13.93007512108834</v>
      </c>
      <c r="P84" s="205">
        <f t="shared" si="24"/>
        <v>0.46969847376808266</v>
      </c>
      <c r="Q84" s="205">
        <f t="shared" si="25"/>
        <v>39.57290456303876</v>
      </c>
      <c r="R84" s="205">
        <f t="shared" si="26"/>
        <v>4.15508982832925</v>
      </c>
      <c r="S84" s="205">
        <f t="shared" si="27"/>
        <v>9.353185404193574</v>
      </c>
      <c r="T84" s="205">
        <f t="shared" si="28"/>
        <v>21.98035857235062</v>
      </c>
      <c r="U84" s="205">
        <f t="shared" si="29"/>
        <v>100</v>
      </c>
    </row>
    <row r="85" spans="1:21" ht="23.25">
      <c r="A85" s="194" t="s">
        <v>191</v>
      </c>
      <c r="B85" s="210">
        <v>1264699</v>
      </c>
      <c r="C85" s="210">
        <v>271109</v>
      </c>
      <c r="D85" s="210">
        <v>8270421</v>
      </c>
      <c r="E85" s="210">
        <v>11397889</v>
      </c>
      <c r="F85" s="210">
        <v>313252</v>
      </c>
      <c r="G85" s="210">
        <v>28523966</v>
      </c>
      <c r="H85" s="210">
        <v>2767277</v>
      </c>
      <c r="I85" s="210">
        <v>7962607</v>
      </c>
      <c r="J85" s="210">
        <v>11857788</v>
      </c>
      <c r="K85" s="211">
        <f t="shared" si="19"/>
        <v>72629008</v>
      </c>
      <c r="L85" s="205">
        <f t="shared" si="20"/>
        <v>1.7413138838410132</v>
      </c>
      <c r="M85" s="205">
        <f t="shared" si="21"/>
        <v>0.3732792274954382</v>
      </c>
      <c r="N85" s="205">
        <f t="shared" si="22"/>
        <v>11.387214596129414</v>
      </c>
      <c r="O85" s="205">
        <f t="shared" si="23"/>
        <v>15.693301222013112</v>
      </c>
      <c r="P85" s="205">
        <f t="shared" si="24"/>
        <v>0.43130425242762505</v>
      </c>
      <c r="Q85" s="205">
        <f t="shared" si="25"/>
        <v>39.27351727012436</v>
      </c>
      <c r="R85" s="205">
        <f t="shared" si="26"/>
        <v>3.8101539263760835</v>
      </c>
      <c r="S85" s="205">
        <f t="shared" si="27"/>
        <v>10.963397710182136</v>
      </c>
      <c r="T85" s="205">
        <f t="shared" si="28"/>
        <v>16.326517911410825</v>
      </c>
      <c r="U85" s="205">
        <f t="shared" si="29"/>
        <v>100</v>
      </c>
    </row>
    <row r="86" spans="1:21" ht="23.25">
      <c r="A86" s="194" t="s">
        <v>192</v>
      </c>
      <c r="B86" s="206">
        <v>1451094</v>
      </c>
      <c r="C86" s="206">
        <v>104812</v>
      </c>
      <c r="D86" s="206">
        <v>9345753</v>
      </c>
      <c r="E86" s="206">
        <v>13119629</v>
      </c>
      <c r="F86" s="206">
        <v>436857</v>
      </c>
      <c r="G86" s="206">
        <v>28974931</v>
      </c>
      <c r="H86" s="206">
        <v>2431871</v>
      </c>
      <c r="I86" s="206">
        <v>10646823</v>
      </c>
      <c r="J86" s="206">
        <v>11349778</v>
      </c>
      <c r="K86" s="207">
        <f t="shared" si="19"/>
        <v>77861548</v>
      </c>
      <c r="L86" s="205">
        <f t="shared" si="20"/>
        <v>1.8636850117595916</v>
      </c>
      <c r="M86" s="205">
        <f t="shared" si="21"/>
        <v>0.13461330103531977</v>
      </c>
      <c r="N86" s="205">
        <f t="shared" si="22"/>
        <v>12.003040319722388</v>
      </c>
      <c r="O86" s="205">
        <f t="shared" si="23"/>
        <v>16.849946266159517</v>
      </c>
      <c r="P86" s="205">
        <f t="shared" si="24"/>
        <v>0.5610689887645183</v>
      </c>
      <c r="Q86" s="205">
        <f t="shared" si="25"/>
        <v>37.21340217895488</v>
      </c>
      <c r="R86" s="205">
        <f t="shared" si="26"/>
        <v>3.123327319410603</v>
      </c>
      <c r="S86" s="205">
        <f t="shared" si="27"/>
        <v>13.674044857161071</v>
      </c>
      <c r="T86" s="205">
        <f t="shared" si="28"/>
        <v>14.576871757032112</v>
      </c>
      <c r="U86" s="205">
        <f t="shared" si="29"/>
        <v>100</v>
      </c>
    </row>
    <row r="87" spans="1:21" ht="23.25">
      <c r="A87" s="194" t="s">
        <v>193</v>
      </c>
      <c r="B87" s="206">
        <v>2075005</v>
      </c>
      <c r="C87" s="206">
        <v>155934</v>
      </c>
      <c r="D87" s="206">
        <v>9601408</v>
      </c>
      <c r="E87" s="206">
        <v>12534581</v>
      </c>
      <c r="F87" s="206">
        <v>348244</v>
      </c>
      <c r="G87" s="206">
        <v>30311197</v>
      </c>
      <c r="H87" s="206">
        <v>2852571</v>
      </c>
      <c r="I87" s="206">
        <v>12936509</v>
      </c>
      <c r="J87" s="206">
        <v>5034452</v>
      </c>
      <c r="K87" s="207">
        <f t="shared" si="19"/>
        <v>75849901</v>
      </c>
      <c r="L87" s="205">
        <f t="shared" si="20"/>
        <v>2.7356726543387317</v>
      </c>
      <c r="M87" s="205">
        <f t="shared" si="21"/>
        <v>0.20558233820239263</v>
      </c>
      <c r="N87" s="205">
        <f t="shared" si="22"/>
        <v>12.658431815224121</v>
      </c>
      <c r="O87" s="205">
        <f t="shared" si="23"/>
        <v>16.525507396509326</v>
      </c>
      <c r="P87" s="205">
        <f t="shared" si="24"/>
        <v>0.45912255046977585</v>
      </c>
      <c r="Q87" s="205">
        <f t="shared" si="25"/>
        <v>39.96207852664171</v>
      </c>
      <c r="R87" s="205">
        <f t="shared" si="26"/>
        <v>3.7608104458831138</v>
      </c>
      <c r="S87" s="205">
        <f t="shared" si="27"/>
        <v>17.055406571987483</v>
      </c>
      <c r="T87" s="205">
        <f t="shared" si="28"/>
        <v>6.63738770074334</v>
      </c>
      <c r="U87" s="205">
        <f t="shared" si="29"/>
        <v>100</v>
      </c>
    </row>
    <row r="88" spans="1:21" ht="23.25">
      <c r="A88" s="194" t="s">
        <v>194</v>
      </c>
      <c r="B88" s="206">
        <v>1907388</v>
      </c>
      <c r="C88" s="206">
        <v>762123</v>
      </c>
      <c r="D88" s="206">
        <v>10380319</v>
      </c>
      <c r="E88" s="206">
        <v>13495287</v>
      </c>
      <c r="F88" s="206">
        <v>264305</v>
      </c>
      <c r="G88" s="206">
        <v>32448963</v>
      </c>
      <c r="H88" s="206">
        <v>2601407</v>
      </c>
      <c r="I88" s="206">
        <v>15206744</v>
      </c>
      <c r="J88" s="206">
        <v>4142077</v>
      </c>
      <c r="K88" s="207">
        <f t="shared" si="19"/>
        <v>81208613</v>
      </c>
      <c r="L88" s="205">
        <f t="shared" si="20"/>
        <v>2.3487508646404294</v>
      </c>
      <c r="M88" s="205">
        <f t="shared" si="21"/>
        <v>0.9384755777075026</v>
      </c>
      <c r="N88" s="205">
        <f t="shared" si="22"/>
        <v>12.782288253094535</v>
      </c>
      <c r="O88" s="205">
        <f t="shared" si="23"/>
        <v>16.618048876170313</v>
      </c>
      <c r="P88" s="205">
        <f t="shared" si="24"/>
        <v>0.32546424601538265</v>
      </c>
      <c r="Q88" s="205">
        <f t="shared" si="25"/>
        <v>39.95753874037967</v>
      </c>
      <c r="R88" s="205">
        <f t="shared" si="26"/>
        <v>3.2033634166366074</v>
      </c>
      <c r="S88" s="205">
        <f t="shared" si="27"/>
        <v>18.72553099755564</v>
      </c>
      <c r="T88" s="205">
        <f t="shared" si="28"/>
        <v>5.10053902779992</v>
      </c>
      <c r="U88" s="205">
        <f t="shared" si="29"/>
        <v>100</v>
      </c>
    </row>
    <row r="89" spans="1:21" ht="23.25">
      <c r="A89" s="194" t="s">
        <v>195</v>
      </c>
      <c r="B89" s="206">
        <v>2175093</v>
      </c>
      <c r="C89" s="206">
        <v>362490</v>
      </c>
      <c r="D89" s="206">
        <v>12918546</v>
      </c>
      <c r="E89" s="206">
        <v>14299416</v>
      </c>
      <c r="F89" s="206">
        <v>386511</v>
      </c>
      <c r="G89" s="206">
        <v>32939390</v>
      </c>
      <c r="H89" s="206">
        <v>2887813</v>
      </c>
      <c r="I89" s="206">
        <v>17386053</v>
      </c>
      <c r="J89" s="206">
        <v>4259787</v>
      </c>
      <c r="K89" s="207">
        <f t="shared" si="19"/>
        <v>87615099</v>
      </c>
      <c r="L89" s="205">
        <f t="shared" si="20"/>
        <v>2.4825549760549834</v>
      </c>
      <c r="M89" s="205">
        <f t="shared" si="21"/>
        <v>0.41373005810334135</v>
      </c>
      <c r="N89" s="205">
        <f t="shared" si="22"/>
        <v>14.74465719658663</v>
      </c>
      <c r="O89" s="205">
        <f t="shared" si="23"/>
        <v>16.320721157890834</v>
      </c>
      <c r="P89" s="205">
        <f t="shared" si="24"/>
        <v>0.44114656538823294</v>
      </c>
      <c r="Q89" s="205">
        <f t="shared" si="25"/>
        <v>37.59556329440431</v>
      </c>
      <c r="R89" s="205">
        <f t="shared" si="26"/>
        <v>3.2960220703511385</v>
      </c>
      <c r="S89" s="205">
        <f t="shared" si="27"/>
        <v>19.843672150618698</v>
      </c>
      <c r="T89" s="205">
        <f t="shared" si="28"/>
        <v>4.861932530601831</v>
      </c>
      <c r="U89" s="205">
        <f t="shared" si="29"/>
        <v>100</v>
      </c>
    </row>
    <row r="90" spans="1:21" ht="23.25">
      <c r="A90" s="194" t="s">
        <v>196</v>
      </c>
      <c r="B90" s="206">
        <v>1999256</v>
      </c>
      <c r="C90" s="206">
        <v>288173</v>
      </c>
      <c r="D90" s="206">
        <v>15364188</v>
      </c>
      <c r="E90" s="206">
        <v>15077794</v>
      </c>
      <c r="F90" s="206">
        <v>389223</v>
      </c>
      <c r="G90" s="206">
        <v>39255852</v>
      </c>
      <c r="H90" s="206">
        <v>2784511</v>
      </c>
      <c r="I90" s="206">
        <v>14299029</v>
      </c>
      <c r="J90" s="206">
        <v>4935440</v>
      </c>
      <c r="K90" s="207">
        <f t="shared" si="19"/>
        <v>94393466</v>
      </c>
      <c r="L90" s="205">
        <f t="shared" si="20"/>
        <v>2.118002532082041</v>
      </c>
      <c r="M90" s="205">
        <f t="shared" si="21"/>
        <v>0.30528913939869523</v>
      </c>
      <c r="N90" s="205">
        <f t="shared" si="22"/>
        <v>16.276749494504205</v>
      </c>
      <c r="O90" s="205">
        <f t="shared" si="23"/>
        <v>15.973345019452937</v>
      </c>
      <c r="P90" s="205">
        <f t="shared" si="24"/>
        <v>0.4123410406394019</v>
      </c>
      <c r="Q90" s="205">
        <f t="shared" si="25"/>
        <v>41.587467505430936</v>
      </c>
      <c r="R90" s="205">
        <f t="shared" si="26"/>
        <v>2.9498980363746785</v>
      </c>
      <c r="S90" s="205">
        <f t="shared" si="27"/>
        <v>15.148324991053935</v>
      </c>
      <c r="T90" s="205">
        <f t="shared" si="28"/>
        <v>5.228582241063169</v>
      </c>
      <c r="U90" s="205">
        <f t="shared" si="29"/>
        <v>100</v>
      </c>
    </row>
    <row r="91" spans="1:21" ht="23.25">
      <c r="A91" s="194" t="s">
        <v>197</v>
      </c>
      <c r="B91" s="206">
        <v>1814488</v>
      </c>
      <c r="C91" s="206">
        <v>241246</v>
      </c>
      <c r="D91" s="206">
        <v>22313561</v>
      </c>
      <c r="E91" s="206">
        <v>17661569</v>
      </c>
      <c r="F91" s="206">
        <v>2585385</v>
      </c>
      <c r="G91" s="206">
        <v>36877446</v>
      </c>
      <c r="H91" s="206">
        <v>2874707</v>
      </c>
      <c r="I91" s="206">
        <v>13875309</v>
      </c>
      <c r="J91" s="206">
        <v>5604178</v>
      </c>
      <c r="K91" s="207">
        <f t="shared" si="19"/>
        <v>103847889</v>
      </c>
      <c r="L91" s="205">
        <f t="shared" si="20"/>
        <v>1.7472555460419612</v>
      </c>
      <c r="M91" s="205">
        <f t="shared" si="21"/>
        <v>0.23230708136975226</v>
      </c>
      <c r="N91" s="205">
        <f t="shared" si="22"/>
        <v>21.486773794698898</v>
      </c>
      <c r="O91" s="205">
        <f t="shared" si="23"/>
        <v>17.007152644190967</v>
      </c>
      <c r="P91" s="205">
        <f t="shared" si="24"/>
        <v>2.489588401744016</v>
      </c>
      <c r="Q91" s="205">
        <f t="shared" si="25"/>
        <v>35.511021316957155</v>
      </c>
      <c r="R91" s="205">
        <f t="shared" si="26"/>
        <v>2.7681901169892824</v>
      </c>
      <c r="S91" s="205">
        <f t="shared" si="27"/>
        <v>13.361185416104124</v>
      </c>
      <c r="T91" s="205">
        <f t="shared" si="28"/>
        <v>5.396525681903848</v>
      </c>
      <c r="U91" s="205">
        <f t="shared" si="29"/>
        <v>100</v>
      </c>
    </row>
    <row r="92" spans="1:21" ht="23.25">
      <c r="A92" s="194"/>
      <c r="B92" s="206"/>
      <c r="C92" s="206"/>
      <c r="D92" s="206"/>
      <c r="E92" s="206"/>
      <c r="F92" s="206"/>
      <c r="G92" s="206"/>
      <c r="H92" s="206"/>
      <c r="I92" s="206"/>
      <c r="J92" s="206"/>
      <c r="K92" s="207"/>
      <c r="L92" s="205"/>
      <c r="M92" s="205"/>
      <c r="N92" s="205"/>
      <c r="O92" s="205"/>
      <c r="P92" s="205"/>
      <c r="Q92" s="205"/>
      <c r="R92" s="205"/>
      <c r="S92" s="205"/>
      <c r="T92" s="205"/>
      <c r="U92" s="205"/>
    </row>
    <row r="93" spans="1:21" ht="23.25">
      <c r="A93" s="194">
        <v>2004</v>
      </c>
      <c r="B93" s="206"/>
      <c r="C93" s="206"/>
      <c r="D93" s="206"/>
      <c r="E93" s="206"/>
      <c r="F93" s="206"/>
      <c r="G93" s="206"/>
      <c r="H93" s="206"/>
      <c r="I93" s="206"/>
      <c r="J93" s="206"/>
      <c r="K93" s="207"/>
      <c r="L93" s="205"/>
      <c r="M93" s="205"/>
      <c r="N93" s="205"/>
      <c r="O93" s="205"/>
      <c r="P93" s="205"/>
      <c r="Q93" s="205"/>
      <c r="R93" s="205"/>
      <c r="S93" s="205"/>
      <c r="T93" s="205"/>
      <c r="U93" s="205"/>
    </row>
    <row r="94" spans="1:21" ht="23.25">
      <c r="A94" s="194" t="s">
        <v>187</v>
      </c>
      <c r="B94" s="206">
        <v>1781522</v>
      </c>
      <c r="C94" s="206">
        <v>124672</v>
      </c>
      <c r="D94" s="206">
        <v>22150894</v>
      </c>
      <c r="E94" s="206">
        <v>19808977</v>
      </c>
      <c r="F94" s="206">
        <v>1074338</v>
      </c>
      <c r="G94" s="206">
        <v>36527029</v>
      </c>
      <c r="H94" s="206">
        <v>3059577</v>
      </c>
      <c r="I94" s="206">
        <v>14720356</v>
      </c>
      <c r="J94" s="206">
        <v>4911416</v>
      </c>
      <c r="K94" s="207">
        <f aca="true" t="shared" si="30" ref="K94:K105">SUM(B94:J94)</f>
        <v>104158781</v>
      </c>
      <c r="L94" s="205">
        <f aca="true" t="shared" si="31" ref="L94:L105">B94/$K94*100</f>
        <v>1.7103906006734084</v>
      </c>
      <c r="M94" s="205">
        <f aca="true" t="shared" si="32" ref="M94:M105">C94/$K94*100</f>
        <v>0.11969418113677809</v>
      </c>
      <c r="N94" s="205">
        <f aca="true" t="shared" si="33" ref="N94:N105">D94/$K94*100</f>
        <v>21.266468162679438</v>
      </c>
      <c r="O94" s="205">
        <f aca="true" t="shared" si="34" ref="O94:O105">E94/$K94*100</f>
        <v>19.018057632606126</v>
      </c>
      <c r="P94" s="205">
        <f aca="true" t="shared" si="35" ref="P94:P105">F94/$K94*100</f>
        <v>1.0314425626774568</v>
      </c>
      <c r="Q94" s="205">
        <f aca="true" t="shared" si="36" ref="Q94:Q105">G94/$K94*100</f>
        <v>35.06860261738278</v>
      </c>
      <c r="R94" s="205">
        <f aca="true" t="shared" si="37" ref="R94:R105">H94/$K94*100</f>
        <v>2.9374162894629112</v>
      </c>
      <c r="S94" s="205">
        <f aca="true" t="shared" si="38" ref="S94:S105">I94/$K94*100</f>
        <v>14.132611632618858</v>
      </c>
      <c r="T94" s="205">
        <f aca="true" t="shared" si="39" ref="T94:T105">J94/$K94*100</f>
        <v>4.715316320762241</v>
      </c>
      <c r="U94" s="205">
        <f aca="true" t="shared" si="40" ref="U94:U105">K94/$K94*100</f>
        <v>100</v>
      </c>
    </row>
    <row r="95" spans="1:21" ht="23.25">
      <c r="A95" s="194" t="s">
        <v>188</v>
      </c>
      <c r="B95" s="206">
        <v>1889193</v>
      </c>
      <c r="C95" s="206">
        <v>226967</v>
      </c>
      <c r="D95" s="206">
        <v>23945246</v>
      </c>
      <c r="E95" s="206">
        <v>20783634</v>
      </c>
      <c r="F95" s="206">
        <v>1104840</v>
      </c>
      <c r="G95" s="206">
        <v>36967810</v>
      </c>
      <c r="H95" s="206">
        <v>3038479</v>
      </c>
      <c r="I95" s="206">
        <v>15198942</v>
      </c>
      <c r="J95" s="206">
        <v>4282072</v>
      </c>
      <c r="K95" s="207">
        <f t="shared" si="30"/>
        <v>107437183</v>
      </c>
      <c r="L95" s="205">
        <f t="shared" si="31"/>
        <v>1.758416357584506</v>
      </c>
      <c r="M95" s="205">
        <f t="shared" si="32"/>
        <v>0.21125553896922258</v>
      </c>
      <c r="N95" s="205">
        <f t="shared" si="33"/>
        <v>22.2876711128958</v>
      </c>
      <c r="O95" s="205">
        <f t="shared" si="34"/>
        <v>19.344917113100408</v>
      </c>
      <c r="P95" s="205">
        <f t="shared" si="35"/>
        <v>1.0283590551699406</v>
      </c>
      <c r="Q95" s="205">
        <f t="shared" si="36"/>
        <v>34.40876702807817</v>
      </c>
      <c r="R95" s="205">
        <f t="shared" si="37"/>
        <v>2.828144702937716</v>
      </c>
      <c r="S95" s="205">
        <f t="shared" si="38"/>
        <v>14.14681730811948</v>
      </c>
      <c r="T95" s="205">
        <f t="shared" si="39"/>
        <v>3.9856517831447613</v>
      </c>
      <c r="U95" s="205">
        <f t="shared" si="40"/>
        <v>100</v>
      </c>
    </row>
    <row r="96" spans="1:21" ht="23.25">
      <c r="A96" s="194" t="s">
        <v>189</v>
      </c>
      <c r="B96" s="206">
        <v>1845410</v>
      </c>
      <c r="C96" s="206">
        <v>254418</v>
      </c>
      <c r="D96" s="206">
        <v>23504246</v>
      </c>
      <c r="E96" s="206">
        <v>21788380</v>
      </c>
      <c r="F96" s="206">
        <v>540625</v>
      </c>
      <c r="G96" s="206">
        <v>38840833</v>
      </c>
      <c r="H96" s="206">
        <v>2718174</v>
      </c>
      <c r="I96" s="206">
        <v>14024906</v>
      </c>
      <c r="J96" s="206">
        <v>6805555</v>
      </c>
      <c r="K96" s="207">
        <f t="shared" si="30"/>
        <v>110322547</v>
      </c>
      <c r="L96" s="205">
        <f t="shared" si="31"/>
        <v>1.6727405686164951</v>
      </c>
      <c r="M96" s="205">
        <f t="shared" si="32"/>
        <v>0.23061287734772837</v>
      </c>
      <c r="N96" s="205">
        <f t="shared" si="33"/>
        <v>21.305024801503176</v>
      </c>
      <c r="O96" s="205">
        <f t="shared" si="34"/>
        <v>19.74970719267386</v>
      </c>
      <c r="P96" s="205">
        <f t="shared" si="35"/>
        <v>0.4900403541263419</v>
      </c>
      <c r="Q96" s="205">
        <f t="shared" si="36"/>
        <v>35.206613748683665</v>
      </c>
      <c r="R96" s="205">
        <f t="shared" si="37"/>
        <v>2.463842681224537</v>
      </c>
      <c r="S96" s="205">
        <f t="shared" si="38"/>
        <v>12.712637970550118</v>
      </c>
      <c r="T96" s="205">
        <f t="shared" si="39"/>
        <v>6.168779805274075</v>
      </c>
      <c r="U96" s="205">
        <f t="shared" si="40"/>
        <v>100</v>
      </c>
    </row>
    <row r="97" spans="1:21" ht="23.25">
      <c r="A97" s="194" t="s">
        <v>190</v>
      </c>
      <c r="B97" s="206">
        <v>1452303</v>
      </c>
      <c r="C97" s="206">
        <v>436371</v>
      </c>
      <c r="D97" s="206">
        <v>25117331</v>
      </c>
      <c r="E97" s="206">
        <v>22429663</v>
      </c>
      <c r="F97" s="206">
        <v>482679</v>
      </c>
      <c r="G97" s="206">
        <v>39538172</v>
      </c>
      <c r="H97" s="206">
        <v>3420446</v>
      </c>
      <c r="I97" s="206">
        <v>13352587</v>
      </c>
      <c r="J97" s="206">
        <v>6891289</v>
      </c>
      <c r="K97" s="207">
        <f t="shared" si="30"/>
        <v>113120841</v>
      </c>
      <c r="L97" s="205">
        <f t="shared" si="31"/>
        <v>1.2838509572254682</v>
      </c>
      <c r="M97" s="205">
        <f t="shared" si="32"/>
        <v>0.3857565026412772</v>
      </c>
      <c r="N97" s="205">
        <f t="shared" si="33"/>
        <v>22.20398184628065</v>
      </c>
      <c r="O97" s="205">
        <f t="shared" si="34"/>
        <v>19.828055380175257</v>
      </c>
      <c r="P97" s="205">
        <f t="shared" si="35"/>
        <v>0.42669325628510846</v>
      </c>
      <c r="Q97" s="205">
        <f t="shared" si="36"/>
        <v>34.95215527968008</v>
      </c>
      <c r="R97" s="205">
        <f t="shared" si="37"/>
        <v>3.023709839639541</v>
      </c>
      <c r="S97" s="205">
        <f t="shared" si="38"/>
        <v>11.803825786620523</v>
      </c>
      <c r="T97" s="205">
        <f t="shared" si="39"/>
        <v>6.091971151452101</v>
      </c>
      <c r="U97" s="205">
        <f t="shared" si="40"/>
        <v>100</v>
      </c>
    </row>
    <row r="98" spans="1:21" ht="23.25">
      <c r="A98" s="194" t="s">
        <v>29</v>
      </c>
      <c r="B98" s="206">
        <v>1527233</v>
      </c>
      <c r="C98" s="206">
        <v>447239</v>
      </c>
      <c r="D98" s="206">
        <v>24085200</v>
      </c>
      <c r="E98" s="206">
        <v>25677527</v>
      </c>
      <c r="F98" s="206">
        <v>726238</v>
      </c>
      <c r="G98" s="206">
        <v>43106756</v>
      </c>
      <c r="H98" s="206">
        <v>3363383</v>
      </c>
      <c r="I98" s="206">
        <v>12478850</v>
      </c>
      <c r="J98" s="206">
        <v>5048447</v>
      </c>
      <c r="K98" s="207">
        <f t="shared" si="30"/>
        <v>116460873</v>
      </c>
      <c r="L98" s="205">
        <f t="shared" si="31"/>
        <v>1.3113700427095374</v>
      </c>
      <c r="M98" s="205">
        <f t="shared" si="32"/>
        <v>0.3840251137392728</v>
      </c>
      <c r="N98" s="205">
        <f t="shared" si="33"/>
        <v>20.680937193386832</v>
      </c>
      <c r="O98" s="205">
        <f t="shared" si="34"/>
        <v>22.048200686251082</v>
      </c>
      <c r="P98" s="205">
        <f t="shared" si="35"/>
        <v>0.6235896926515396</v>
      </c>
      <c r="Q98" s="205">
        <f t="shared" si="36"/>
        <v>37.013938578324066</v>
      </c>
      <c r="R98" s="205">
        <f t="shared" si="37"/>
        <v>2.887993978887656</v>
      </c>
      <c r="S98" s="205">
        <f t="shared" si="38"/>
        <v>10.715057923359375</v>
      </c>
      <c r="T98" s="205">
        <f t="shared" si="39"/>
        <v>4.334886790690638</v>
      </c>
      <c r="U98" s="205">
        <f t="shared" si="40"/>
        <v>100</v>
      </c>
    </row>
    <row r="99" spans="1:21" ht="23.25">
      <c r="A99" s="194" t="s">
        <v>191</v>
      </c>
      <c r="B99" s="206">
        <v>1754845</v>
      </c>
      <c r="C99" s="206">
        <v>502451</v>
      </c>
      <c r="D99" s="206">
        <v>25659011</v>
      </c>
      <c r="E99" s="206">
        <v>26029992</v>
      </c>
      <c r="F99" s="206">
        <v>834554</v>
      </c>
      <c r="G99" s="206">
        <v>43042056</v>
      </c>
      <c r="H99" s="206">
        <v>4415112</v>
      </c>
      <c r="I99" s="206">
        <v>11759285</v>
      </c>
      <c r="J99" s="206">
        <v>5681671</v>
      </c>
      <c r="K99" s="207">
        <f t="shared" si="30"/>
        <v>119678977</v>
      </c>
      <c r="L99" s="205">
        <f t="shared" si="31"/>
        <v>1.4662934493499222</v>
      </c>
      <c r="M99" s="205">
        <f t="shared" si="32"/>
        <v>0.4198322985330999</v>
      </c>
      <c r="N99" s="205">
        <f t="shared" si="33"/>
        <v>21.439864914620717</v>
      </c>
      <c r="O99" s="205">
        <f t="shared" si="34"/>
        <v>21.749845004106277</v>
      </c>
      <c r="P99" s="205">
        <f t="shared" si="35"/>
        <v>0.6973271504484868</v>
      </c>
      <c r="Q99" s="205">
        <f t="shared" si="36"/>
        <v>35.96459217728775</v>
      </c>
      <c r="R99" s="205">
        <f t="shared" si="37"/>
        <v>3.689129127499143</v>
      </c>
      <c r="S99" s="205">
        <f t="shared" si="38"/>
        <v>9.82568977005878</v>
      </c>
      <c r="T99" s="205">
        <f t="shared" si="39"/>
        <v>4.747426108095827</v>
      </c>
      <c r="U99" s="205">
        <f t="shared" si="40"/>
        <v>100</v>
      </c>
    </row>
    <row r="100" spans="1:21" ht="23.25">
      <c r="A100" s="194" t="s">
        <v>192</v>
      </c>
      <c r="B100" s="206">
        <v>1711870</v>
      </c>
      <c r="C100" s="206">
        <v>1098097</v>
      </c>
      <c r="D100" s="206">
        <v>24469112</v>
      </c>
      <c r="E100" s="206">
        <v>24200994</v>
      </c>
      <c r="F100" s="206">
        <v>695775</v>
      </c>
      <c r="G100" s="206">
        <v>45608866</v>
      </c>
      <c r="H100" s="206">
        <v>4194290</v>
      </c>
      <c r="I100" s="206">
        <v>16781633</v>
      </c>
      <c r="J100" s="206">
        <v>4628835</v>
      </c>
      <c r="K100" s="207">
        <f t="shared" si="30"/>
        <v>123389472</v>
      </c>
      <c r="L100" s="205">
        <f t="shared" si="31"/>
        <v>1.3873712013290729</v>
      </c>
      <c r="M100" s="205">
        <f t="shared" si="32"/>
        <v>0.8899438357269249</v>
      </c>
      <c r="N100" s="205">
        <f t="shared" si="33"/>
        <v>19.830793991889355</v>
      </c>
      <c r="O100" s="205">
        <f t="shared" si="34"/>
        <v>19.61349992647671</v>
      </c>
      <c r="P100" s="205">
        <f t="shared" si="35"/>
        <v>0.5638852235302538</v>
      </c>
      <c r="Q100" s="205">
        <f t="shared" si="36"/>
        <v>36.963336709958526</v>
      </c>
      <c r="R100" s="205">
        <f t="shared" si="37"/>
        <v>3.3992284203955427</v>
      </c>
      <c r="S100" s="205">
        <f t="shared" si="38"/>
        <v>13.600538788268743</v>
      </c>
      <c r="T100" s="205">
        <f t="shared" si="39"/>
        <v>3.751401902424868</v>
      </c>
      <c r="U100" s="205">
        <f t="shared" si="40"/>
        <v>100</v>
      </c>
    </row>
    <row r="101" spans="1:21" ht="23.25">
      <c r="A101" s="194" t="s">
        <v>193</v>
      </c>
      <c r="B101" s="206">
        <v>2139329</v>
      </c>
      <c r="C101" s="206">
        <v>698660</v>
      </c>
      <c r="D101" s="206">
        <v>24657554</v>
      </c>
      <c r="E101" s="206">
        <v>25519029</v>
      </c>
      <c r="F101" s="206">
        <v>1206472</v>
      </c>
      <c r="G101" s="206">
        <v>45447868</v>
      </c>
      <c r="H101" s="206">
        <v>4190383</v>
      </c>
      <c r="I101" s="206">
        <v>16952813</v>
      </c>
      <c r="J101" s="206">
        <v>4403722</v>
      </c>
      <c r="K101" s="207">
        <f t="shared" si="30"/>
        <v>125215830</v>
      </c>
      <c r="L101" s="205">
        <f t="shared" si="31"/>
        <v>1.7085132127463436</v>
      </c>
      <c r="M101" s="205">
        <f t="shared" si="32"/>
        <v>0.5579645960099454</v>
      </c>
      <c r="N101" s="205">
        <f t="shared" si="33"/>
        <v>19.69204213237256</v>
      </c>
      <c r="O101" s="205">
        <f t="shared" si="34"/>
        <v>20.38003421771832</v>
      </c>
      <c r="P101" s="205">
        <f t="shared" si="35"/>
        <v>0.9635139582591115</v>
      </c>
      <c r="Q101" s="205">
        <f t="shared" si="36"/>
        <v>36.29562492218436</v>
      </c>
      <c r="R101" s="205">
        <f t="shared" si="37"/>
        <v>3.3465281506339895</v>
      </c>
      <c r="S101" s="205">
        <f t="shared" si="38"/>
        <v>13.53887363921958</v>
      </c>
      <c r="T101" s="205">
        <f t="shared" si="39"/>
        <v>3.5169051708557935</v>
      </c>
      <c r="U101" s="205">
        <f t="shared" si="40"/>
        <v>100</v>
      </c>
    </row>
    <row r="102" spans="1:21" ht="23.25">
      <c r="A102" s="194" t="s">
        <v>194</v>
      </c>
      <c r="B102" s="206">
        <v>2104839</v>
      </c>
      <c r="C102" s="206">
        <v>1292989</v>
      </c>
      <c r="D102" s="206">
        <v>23720907</v>
      </c>
      <c r="E102" s="206">
        <v>27105564</v>
      </c>
      <c r="F102" s="206">
        <v>772117</v>
      </c>
      <c r="G102" s="206">
        <v>49719574</v>
      </c>
      <c r="H102" s="206">
        <v>5958132</v>
      </c>
      <c r="I102" s="206">
        <v>17508942</v>
      </c>
      <c r="J102" s="206">
        <v>4685053</v>
      </c>
      <c r="K102" s="207">
        <f t="shared" si="30"/>
        <v>132868117</v>
      </c>
      <c r="L102" s="205">
        <f t="shared" si="31"/>
        <v>1.5841565663190667</v>
      </c>
      <c r="M102" s="205">
        <f t="shared" si="32"/>
        <v>0.9731371447071835</v>
      </c>
      <c r="N102" s="205">
        <f t="shared" si="33"/>
        <v>17.852971454393384</v>
      </c>
      <c r="O102" s="205">
        <f t="shared" si="34"/>
        <v>20.400352328316657</v>
      </c>
      <c r="P102" s="205">
        <f t="shared" si="35"/>
        <v>0.5811153325820069</v>
      </c>
      <c r="Q102" s="205">
        <f t="shared" si="36"/>
        <v>37.420244316399845</v>
      </c>
      <c r="R102" s="205">
        <f t="shared" si="37"/>
        <v>4.484245080405557</v>
      </c>
      <c r="S102" s="205">
        <f t="shared" si="38"/>
        <v>13.177685057431798</v>
      </c>
      <c r="T102" s="205">
        <f t="shared" si="39"/>
        <v>3.5260927194444998</v>
      </c>
      <c r="U102" s="205">
        <f t="shared" si="40"/>
        <v>100</v>
      </c>
    </row>
    <row r="103" spans="1:21" ht="23.25">
      <c r="A103" s="194" t="s">
        <v>195</v>
      </c>
      <c r="B103" s="206">
        <v>2097123</v>
      </c>
      <c r="C103" s="206">
        <v>1303275</v>
      </c>
      <c r="D103" s="206">
        <v>23735083</v>
      </c>
      <c r="E103" s="206">
        <v>27410755</v>
      </c>
      <c r="F103" s="206">
        <v>1029643</v>
      </c>
      <c r="G103" s="206">
        <v>51611571</v>
      </c>
      <c r="H103" s="206">
        <v>7163236</v>
      </c>
      <c r="I103" s="206">
        <v>17520179</v>
      </c>
      <c r="J103" s="206">
        <v>5057527</v>
      </c>
      <c r="K103" s="207">
        <f t="shared" si="30"/>
        <v>136928392</v>
      </c>
      <c r="L103" s="205">
        <f t="shared" si="31"/>
        <v>1.5315472338271525</v>
      </c>
      <c r="M103" s="205">
        <f t="shared" si="32"/>
        <v>0.9517931094962394</v>
      </c>
      <c r="N103" s="205">
        <f t="shared" si="33"/>
        <v>17.33393831134744</v>
      </c>
      <c r="O103" s="205">
        <f t="shared" si="34"/>
        <v>20.01831365988728</v>
      </c>
      <c r="P103" s="205">
        <f t="shared" si="35"/>
        <v>0.7519572712137013</v>
      </c>
      <c r="Q103" s="205">
        <f t="shared" si="36"/>
        <v>37.69238084677136</v>
      </c>
      <c r="R103" s="205">
        <f t="shared" si="37"/>
        <v>5.231373782582651</v>
      </c>
      <c r="S103" s="205">
        <f t="shared" si="38"/>
        <v>12.79513966687055</v>
      </c>
      <c r="T103" s="205">
        <f t="shared" si="39"/>
        <v>3.6935561180036354</v>
      </c>
      <c r="U103" s="205">
        <f t="shared" si="40"/>
        <v>100</v>
      </c>
    </row>
    <row r="104" spans="1:21" ht="23.25">
      <c r="A104" s="194" t="s">
        <v>196</v>
      </c>
      <c r="B104" s="206">
        <v>2212331</v>
      </c>
      <c r="C104" s="206">
        <v>295118</v>
      </c>
      <c r="D104" s="206">
        <v>23971489</v>
      </c>
      <c r="E104" s="206">
        <v>26865514</v>
      </c>
      <c r="F104" s="206">
        <v>1658283</v>
      </c>
      <c r="G104" s="206">
        <v>56887824</v>
      </c>
      <c r="H104" s="206">
        <v>9303872</v>
      </c>
      <c r="I104" s="206">
        <v>16349944</v>
      </c>
      <c r="J104" s="206">
        <v>4818016</v>
      </c>
      <c r="K104" s="207">
        <f t="shared" si="30"/>
        <v>142362391</v>
      </c>
      <c r="L104" s="205">
        <f t="shared" si="31"/>
        <v>1.5540136580032573</v>
      </c>
      <c r="M104" s="205">
        <f t="shared" si="32"/>
        <v>0.20730053627716888</v>
      </c>
      <c r="N104" s="205">
        <f t="shared" si="33"/>
        <v>16.838357962110933</v>
      </c>
      <c r="O104" s="205">
        <f t="shared" si="34"/>
        <v>18.871215783387623</v>
      </c>
      <c r="P104" s="205">
        <f t="shared" si="35"/>
        <v>1.1648322203298762</v>
      </c>
      <c r="Q104" s="205">
        <f t="shared" si="36"/>
        <v>39.95986833348423</v>
      </c>
      <c r="R104" s="205">
        <f t="shared" si="37"/>
        <v>6.535344015119835</v>
      </c>
      <c r="S104" s="205">
        <f t="shared" si="38"/>
        <v>11.484735459381264</v>
      </c>
      <c r="T104" s="205">
        <f t="shared" si="39"/>
        <v>3.3843320319058146</v>
      </c>
      <c r="U104" s="205">
        <f t="shared" si="40"/>
        <v>100</v>
      </c>
    </row>
    <row r="105" spans="1:21" ht="23.25">
      <c r="A105" s="194" t="s">
        <v>197</v>
      </c>
      <c r="B105" s="206">
        <v>2806481</v>
      </c>
      <c r="C105" s="206">
        <v>327013</v>
      </c>
      <c r="D105" s="206">
        <v>23023750</v>
      </c>
      <c r="E105" s="206">
        <v>29002507</v>
      </c>
      <c r="F105" s="206">
        <v>2009475</v>
      </c>
      <c r="G105" s="206">
        <v>59495997</v>
      </c>
      <c r="H105" s="206">
        <v>8006516</v>
      </c>
      <c r="I105" s="206">
        <v>17298579</v>
      </c>
      <c r="J105" s="206">
        <v>3278531</v>
      </c>
      <c r="K105" s="207">
        <f t="shared" si="30"/>
        <v>145248849</v>
      </c>
      <c r="L105" s="205">
        <f t="shared" si="31"/>
        <v>1.9321881166851795</v>
      </c>
      <c r="M105" s="205">
        <f t="shared" si="32"/>
        <v>0.22513982193414833</v>
      </c>
      <c r="N105" s="205">
        <f t="shared" si="33"/>
        <v>15.851244370273804</v>
      </c>
      <c r="O105" s="205">
        <f t="shared" si="34"/>
        <v>19.96746080927636</v>
      </c>
      <c r="P105" s="205">
        <f t="shared" si="35"/>
        <v>1.383470515487527</v>
      </c>
      <c r="Q105" s="205">
        <f t="shared" si="36"/>
        <v>40.96142407297149</v>
      </c>
      <c r="R105" s="205">
        <f t="shared" si="37"/>
        <v>5.512275006048413</v>
      </c>
      <c r="S105" s="205">
        <f t="shared" si="38"/>
        <v>11.909615201150405</v>
      </c>
      <c r="T105" s="205">
        <f t="shared" si="39"/>
        <v>2.257182086172676</v>
      </c>
      <c r="U105" s="205">
        <f t="shared" si="40"/>
        <v>100</v>
      </c>
    </row>
    <row r="106" spans="1:21" ht="23.25">
      <c r="A106" s="194"/>
      <c r="B106" s="206"/>
      <c r="C106" s="206"/>
      <c r="D106" s="206"/>
      <c r="E106" s="206"/>
      <c r="F106" s="206"/>
      <c r="G106" s="206"/>
      <c r="H106" s="206"/>
      <c r="I106" s="206"/>
      <c r="J106" s="206"/>
      <c r="K106" s="207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</row>
    <row r="107" spans="1:21" ht="23.25">
      <c r="A107" s="194"/>
      <c r="B107" s="206"/>
      <c r="C107" s="206"/>
      <c r="D107" s="206"/>
      <c r="E107" s="206"/>
      <c r="F107" s="206"/>
      <c r="G107" s="206"/>
      <c r="H107" s="206"/>
      <c r="I107" s="206"/>
      <c r="J107" s="206"/>
      <c r="K107" s="207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</row>
    <row r="108" spans="1:21" ht="23.25">
      <c r="A108" s="194">
        <v>2005</v>
      </c>
      <c r="B108" s="206"/>
      <c r="C108" s="206"/>
      <c r="D108" s="206"/>
      <c r="E108" s="206"/>
      <c r="F108" s="206"/>
      <c r="G108" s="206"/>
      <c r="H108" s="206"/>
      <c r="I108" s="206"/>
      <c r="J108" s="206"/>
      <c r="K108" s="207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</row>
    <row r="109" spans="1:21" ht="23.25">
      <c r="A109" s="194" t="s">
        <v>25</v>
      </c>
      <c r="B109" s="206">
        <v>2987983</v>
      </c>
      <c r="C109" s="206">
        <v>943013</v>
      </c>
      <c r="D109" s="206">
        <v>22857487</v>
      </c>
      <c r="E109" s="206">
        <v>27359911</v>
      </c>
      <c r="F109" s="206">
        <v>1568114</v>
      </c>
      <c r="G109" s="206">
        <v>57877357</v>
      </c>
      <c r="H109" s="206">
        <v>7424101</v>
      </c>
      <c r="I109" s="206">
        <v>15767982</v>
      </c>
      <c r="J109" s="206">
        <v>4848676</v>
      </c>
      <c r="K109" s="207">
        <f aca="true" t="shared" si="41" ref="K109:K114">SUM(B109:J109)</f>
        <v>141634624</v>
      </c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</row>
    <row r="110" spans="1:21" ht="23.25">
      <c r="A110" s="194" t="s">
        <v>26</v>
      </c>
      <c r="B110" s="206">
        <v>2928765</v>
      </c>
      <c r="C110" s="206">
        <v>1005807</v>
      </c>
      <c r="D110" s="206">
        <v>22763716</v>
      </c>
      <c r="E110" s="206">
        <v>28643455</v>
      </c>
      <c r="F110" s="206">
        <v>2394099</v>
      </c>
      <c r="G110" s="206">
        <v>58287775</v>
      </c>
      <c r="H110" s="206">
        <v>7114224</v>
      </c>
      <c r="I110" s="206">
        <v>13942566</v>
      </c>
      <c r="J110" s="206">
        <v>5272191</v>
      </c>
      <c r="K110" s="207">
        <f t="shared" si="41"/>
        <v>142352598</v>
      </c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</row>
    <row r="111" spans="1:21" ht="23.25">
      <c r="A111" s="194" t="s">
        <v>27</v>
      </c>
      <c r="B111" s="206">
        <v>2908327</v>
      </c>
      <c r="C111" s="206">
        <v>866556</v>
      </c>
      <c r="D111" s="206">
        <v>22079434</v>
      </c>
      <c r="E111" s="206">
        <v>32109244</v>
      </c>
      <c r="F111" s="206">
        <v>3176400</v>
      </c>
      <c r="G111" s="206">
        <v>60635772</v>
      </c>
      <c r="H111" s="206">
        <v>7860081</v>
      </c>
      <c r="I111" s="206">
        <v>16822280</v>
      </c>
      <c r="J111" s="206">
        <v>5302315</v>
      </c>
      <c r="K111" s="207">
        <f t="shared" si="41"/>
        <v>151760409</v>
      </c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</row>
    <row r="112" spans="1:21" ht="23.25">
      <c r="A112" s="194" t="s">
        <v>28</v>
      </c>
      <c r="B112" s="206">
        <v>3028975</v>
      </c>
      <c r="C112" s="206">
        <v>1229327</v>
      </c>
      <c r="D112" s="206">
        <v>21244727</v>
      </c>
      <c r="E112" s="206">
        <v>33322696</v>
      </c>
      <c r="F112" s="206">
        <v>2848887</v>
      </c>
      <c r="G112" s="206">
        <v>61109534</v>
      </c>
      <c r="H112" s="206">
        <v>7279594</v>
      </c>
      <c r="I112" s="206">
        <v>16844078</v>
      </c>
      <c r="J112" s="206">
        <v>7558259</v>
      </c>
      <c r="K112" s="207">
        <f t="shared" si="41"/>
        <v>154466077</v>
      </c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</row>
    <row r="113" spans="1:21" ht="23.25">
      <c r="A113" s="194" t="s">
        <v>29</v>
      </c>
      <c r="B113" s="206">
        <v>3098145</v>
      </c>
      <c r="C113" s="206">
        <v>1112014</v>
      </c>
      <c r="D113" s="206">
        <v>22660253</v>
      </c>
      <c r="E113" s="206">
        <v>34080455</v>
      </c>
      <c r="F113" s="206">
        <v>2333363</v>
      </c>
      <c r="G113" s="206">
        <v>55965722</v>
      </c>
      <c r="H113" s="206">
        <v>11181112</v>
      </c>
      <c r="I113" s="206">
        <v>17448941</v>
      </c>
      <c r="J113" s="206">
        <v>8692292</v>
      </c>
      <c r="K113" s="207">
        <f t="shared" si="41"/>
        <v>156572297</v>
      </c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</row>
    <row r="114" spans="1:21" ht="23.25">
      <c r="A114" s="194" t="s">
        <v>30</v>
      </c>
      <c r="B114" s="206">
        <v>2518765</v>
      </c>
      <c r="C114" s="206">
        <v>1108131</v>
      </c>
      <c r="D114" s="206">
        <v>24122571</v>
      </c>
      <c r="E114" s="206">
        <v>34235508</v>
      </c>
      <c r="F114" s="206">
        <v>1761515</v>
      </c>
      <c r="G114" s="206">
        <v>60474140</v>
      </c>
      <c r="H114" s="206">
        <v>15665412</v>
      </c>
      <c r="I114" s="206">
        <v>20178924</v>
      </c>
      <c r="J114" s="206">
        <v>5638351</v>
      </c>
      <c r="K114" s="207">
        <f t="shared" si="41"/>
        <v>165703317</v>
      </c>
      <c r="L114" s="205"/>
      <c r="M114" s="205"/>
      <c r="N114" s="205"/>
      <c r="O114" s="205"/>
      <c r="P114" s="205"/>
      <c r="Q114" s="205"/>
      <c r="R114" s="205"/>
      <c r="S114" s="205"/>
      <c r="T114" s="205"/>
      <c r="U114" s="205"/>
    </row>
    <row r="115" spans="1:11" ht="23.25">
      <c r="A115" s="194" t="s">
        <v>31</v>
      </c>
      <c r="B115" s="206">
        <v>3671555</v>
      </c>
      <c r="C115" s="206">
        <v>1170888</v>
      </c>
      <c r="D115" s="206">
        <v>18442306</v>
      </c>
      <c r="E115" s="206">
        <v>36115565</v>
      </c>
      <c r="F115" s="206">
        <v>2495827</v>
      </c>
      <c r="G115" s="206">
        <v>62226918</v>
      </c>
      <c r="H115" s="206">
        <v>12983777</v>
      </c>
      <c r="I115" s="206">
        <v>24196516</v>
      </c>
      <c r="J115" s="206">
        <v>6097675</v>
      </c>
      <c r="K115" s="207">
        <v>167401027</v>
      </c>
    </row>
    <row r="116" spans="1:11" ht="23.25">
      <c r="A116" s="194" t="s">
        <v>32</v>
      </c>
      <c r="B116" s="206">
        <v>3425750</v>
      </c>
      <c r="C116" s="206">
        <v>1161150</v>
      </c>
      <c r="D116" s="206">
        <v>24428816</v>
      </c>
      <c r="E116" s="206">
        <v>35273793</v>
      </c>
      <c r="F116" s="206">
        <v>2889924</v>
      </c>
      <c r="G116" s="206">
        <v>58366057</v>
      </c>
      <c r="H116" s="206">
        <v>14051826</v>
      </c>
      <c r="I116" s="206">
        <v>20468813</v>
      </c>
      <c r="J116" s="206">
        <v>9288167</v>
      </c>
      <c r="K116" s="207">
        <f>SUM(B116:J116)</f>
        <v>169354296</v>
      </c>
    </row>
    <row r="117" spans="1:11" ht="23.25">
      <c r="A117" s="194" t="s">
        <v>33</v>
      </c>
      <c r="B117" s="206">
        <v>3546159</v>
      </c>
      <c r="C117" s="206">
        <v>1178215</v>
      </c>
      <c r="D117" s="206">
        <v>23747711</v>
      </c>
      <c r="E117" s="206">
        <v>33886357</v>
      </c>
      <c r="F117" s="206">
        <v>2764569</v>
      </c>
      <c r="G117" s="206">
        <v>56657625</v>
      </c>
      <c r="H117" s="206">
        <v>15079569</v>
      </c>
      <c r="I117" s="206">
        <v>24621378</v>
      </c>
      <c r="J117" s="206">
        <v>10140872</v>
      </c>
      <c r="K117" s="207">
        <f>SUM(B117:J117)</f>
        <v>171622455</v>
      </c>
    </row>
    <row r="118" spans="1:11" ht="23.25">
      <c r="A118" s="194" t="s">
        <v>35</v>
      </c>
      <c r="B118" s="206">
        <v>3251753</v>
      </c>
      <c r="C118" s="206">
        <v>1254911</v>
      </c>
      <c r="D118" s="206">
        <v>21925041</v>
      </c>
      <c r="E118" s="206">
        <v>36389673</v>
      </c>
      <c r="F118" s="206">
        <v>3258189</v>
      </c>
      <c r="G118" s="206">
        <v>60729276</v>
      </c>
      <c r="H118" s="206">
        <v>16871187</v>
      </c>
      <c r="I118" s="206">
        <v>18161759</v>
      </c>
      <c r="J118" s="206">
        <v>10121025</v>
      </c>
      <c r="K118" s="207">
        <f>SUM(B118:J118)</f>
        <v>171962814</v>
      </c>
    </row>
    <row r="119" spans="1:11" ht="23.25">
      <c r="A119" s="194" t="s">
        <v>36</v>
      </c>
      <c r="B119" s="206">
        <v>3037794</v>
      </c>
      <c r="C119" s="206">
        <v>1190319</v>
      </c>
      <c r="D119" s="206">
        <v>20965165</v>
      </c>
      <c r="E119" s="206">
        <v>35644141</v>
      </c>
      <c r="F119" s="206">
        <v>2643031</v>
      </c>
      <c r="G119" s="206">
        <v>63017207</v>
      </c>
      <c r="H119" s="206">
        <v>16991255</v>
      </c>
      <c r="I119" s="206">
        <v>20935120</v>
      </c>
      <c r="J119" s="206">
        <v>7438457</v>
      </c>
      <c r="K119" s="207">
        <f>SUM(B119:J119)</f>
        <v>171862489</v>
      </c>
    </row>
    <row r="120" spans="1:11" ht="23.25">
      <c r="A120" s="194" t="s">
        <v>37</v>
      </c>
      <c r="B120" s="206">
        <v>3305430</v>
      </c>
      <c r="C120" s="206">
        <v>1280512</v>
      </c>
      <c r="D120" s="206">
        <v>20171804</v>
      </c>
      <c r="E120" s="206">
        <v>36971139</v>
      </c>
      <c r="F120" s="206">
        <v>2596276</v>
      </c>
      <c r="G120" s="206">
        <v>58779963</v>
      </c>
      <c r="H120" s="206">
        <v>16352772</v>
      </c>
      <c r="I120" s="206">
        <v>20446139</v>
      </c>
      <c r="J120" s="206">
        <v>7639152</v>
      </c>
      <c r="K120" s="207">
        <f>SUM(B120:J120)</f>
        <v>167543187</v>
      </c>
    </row>
    <row r="121" spans="1:11" ht="23.25">
      <c r="A121" s="194"/>
      <c r="B121" s="206"/>
      <c r="C121" s="206"/>
      <c r="D121" s="206"/>
      <c r="E121" s="206"/>
      <c r="F121" s="206"/>
      <c r="G121" s="206"/>
      <c r="H121" s="206"/>
      <c r="I121" s="206"/>
      <c r="J121" s="206"/>
      <c r="K121" s="207"/>
    </row>
    <row r="122" spans="2:11" ht="23.25">
      <c r="B122" s="206"/>
      <c r="C122" s="206"/>
      <c r="D122" s="206"/>
      <c r="E122" s="206"/>
      <c r="F122" s="206"/>
      <c r="G122" s="206"/>
      <c r="H122" s="206"/>
      <c r="I122" s="206"/>
      <c r="J122" s="206"/>
      <c r="K122" s="207"/>
    </row>
    <row r="123" spans="1:11" ht="23.25">
      <c r="A123" s="194">
        <v>2006</v>
      </c>
      <c r="B123" s="206"/>
      <c r="C123" s="206"/>
      <c r="D123" s="206"/>
      <c r="E123" s="206"/>
      <c r="F123" s="206"/>
      <c r="G123" s="206"/>
      <c r="H123" s="206"/>
      <c r="I123" s="206"/>
      <c r="J123" s="206"/>
      <c r="K123" s="207"/>
    </row>
    <row r="124" spans="1:11" ht="23.25">
      <c r="A124" s="194" t="s">
        <v>25</v>
      </c>
      <c r="B124" s="206">
        <v>3340801</v>
      </c>
      <c r="C124" s="206">
        <v>1618009</v>
      </c>
      <c r="D124" s="206">
        <v>20224277</v>
      </c>
      <c r="E124" s="206">
        <v>35987099</v>
      </c>
      <c r="F124" s="206">
        <v>2797729</v>
      </c>
      <c r="G124" s="206">
        <v>63051255</v>
      </c>
      <c r="H124" s="206">
        <v>16048418</v>
      </c>
      <c r="I124" s="206">
        <v>19491215</v>
      </c>
      <c r="J124" s="206">
        <v>8818917</v>
      </c>
      <c r="K124" s="207">
        <v>171377720</v>
      </c>
    </row>
    <row r="125" spans="1:11" ht="23.25">
      <c r="A125" s="194" t="s">
        <v>26</v>
      </c>
      <c r="B125" s="206">
        <v>3724680</v>
      </c>
      <c r="C125" s="206">
        <v>1074108</v>
      </c>
      <c r="D125" s="206">
        <v>19077919</v>
      </c>
      <c r="E125" s="206">
        <v>38904108</v>
      </c>
      <c r="F125" s="206">
        <v>3079442</v>
      </c>
      <c r="G125" s="206">
        <v>67593835</v>
      </c>
      <c r="H125" s="206">
        <v>14386621</v>
      </c>
      <c r="I125" s="206">
        <v>23170195</v>
      </c>
      <c r="J125" s="206">
        <v>7829414</v>
      </c>
      <c r="K125" s="207">
        <v>178840322</v>
      </c>
    </row>
    <row r="126" spans="1:11" ht="23.25">
      <c r="A126" s="194" t="s">
        <v>27</v>
      </c>
      <c r="B126" s="206">
        <v>3326188</v>
      </c>
      <c r="C126" s="206">
        <v>2050133</v>
      </c>
      <c r="D126" s="206">
        <v>22309947</v>
      </c>
      <c r="E126" s="206">
        <v>42346741</v>
      </c>
      <c r="F126" s="206">
        <v>5513056</v>
      </c>
      <c r="G126" s="206">
        <v>61979265</v>
      </c>
      <c r="H126" s="206">
        <v>16969626</v>
      </c>
      <c r="I126" s="206">
        <v>24981404</v>
      </c>
      <c r="J126" s="206">
        <v>4008150</v>
      </c>
      <c r="K126" s="207">
        <f>SUM(B126:J126)</f>
        <v>183484510</v>
      </c>
    </row>
    <row r="127" spans="1:11" ht="23.25">
      <c r="A127" s="194" t="s">
        <v>28</v>
      </c>
      <c r="B127" s="206">
        <v>3392508</v>
      </c>
      <c r="C127" s="206">
        <v>2665403</v>
      </c>
      <c r="D127" s="206">
        <v>19929117</v>
      </c>
      <c r="E127" s="206">
        <v>39123412</v>
      </c>
      <c r="F127" s="206">
        <v>4997167</v>
      </c>
      <c r="G127" s="206">
        <v>68918629</v>
      </c>
      <c r="H127" s="206">
        <v>16551210</v>
      </c>
      <c r="I127" s="206">
        <v>26907393</v>
      </c>
      <c r="J127" s="206">
        <v>2950414</v>
      </c>
      <c r="K127" s="207">
        <f>SUM(B127:J127)</f>
        <v>185435253</v>
      </c>
    </row>
    <row r="128" spans="1:11" ht="23.25">
      <c r="A128" s="194" t="s">
        <v>29</v>
      </c>
      <c r="B128" s="206">
        <v>3256180</v>
      </c>
      <c r="C128" s="206">
        <v>2521690</v>
      </c>
      <c r="D128" s="206">
        <v>19680098</v>
      </c>
      <c r="E128" s="206">
        <v>40320090</v>
      </c>
      <c r="F128" s="206">
        <v>4056215</v>
      </c>
      <c r="G128" s="206">
        <v>68359667</v>
      </c>
      <c r="H128" s="206">
        <v>14733736</v>
      </c>
      <c r="I128" s="206">
        <v>28838350</v>
      </c>
      <c r="J128" s="206">
        <v>2996450</v>
      </c>
      <c r="K128" s="207">
        <v>184762476</v>
      </c>
    </row>
    <row r="129" spans="1:11" ht="23.25">
      <c r="A129" s="194" t="s">
        <v>30</v>
      </c>
      <c r="B129" s="206">
        <v>3386520</v>
      </c>
      <c r="C129" s="206">
        <v>2343205</v>
      </c>
      <c r="D129" s="206">
        <v>18775103</v>
      </c>
      <c r="E129" s="206">
        <v>42401173</v>
      </c>
      <c r="F129" s="206">
        <v>5497983</v>
      </c>
      <c r="G129" s="206">
        <v>68510401</v>
      </c>
      <c r="H129" s="206">
        <v>20755338</v>
      </c>
      <c r="I129" s="206">
        <v>28606063</v>
      </c>
      <c r="J129" s="206">
        <v>2940594</v>
      </c>
      <c r="K129" s="207">
        <v>193216380</v>
      </c>
    </row>
    <row r="130" spans="1:11" ht="23.25">
      <c r="A130" s="194" t="s">
        <v>31</v>
      </c>
      <c r="B130" s="206">
        <v>3013720</v>
      </c>
      <c r="C130" s="206">
        <v>2893265</v>
      </c>
      <c r="D130" s="206">
        <v>20154885</v>
      </c>
      <c r="E130" s="206">
        <v>37137757</v>
      </c>
      <c r="F130" s="206">
        <v>4222605</v>
      </c>
      <c r="G130" s="206">
        <v>61176303</v>
      </c>
      <c r="H130" s="206">
        <v>17923105</v>
      </c>
      <c r="I130" s="206">
        <v>30948570</v>
      </c>
      <c r="J130" s="206">
        <v>4525739</v>
      </c>
      <c r="K130" s="207">
        <f aca="true" t="shared" si="42" ref="K130:K137">SUM(B130:J130)</f>
        <v>181995949</v>
      </c>
    </row>
    <row r="131" spans="1:11" ht="23.25">
      <c r="A131" s="194" t="s">
        <v>32</v>
      </c>
      <c r="B131" s="206">
        <v>3175138</v>
      </c>
      <c r="C131" s="206">
        <v>3169334</v>
      </c>
      <c r="D131" s="206">
        <v>18436139</v>
      </c>
      <c r="E131" s="206">
        <v>38708174</v>
      </c>
      <c r="F131" s="206">
        <v>5265615</v>
      </c>
      <c r="G131" s="206">
        <v>65287678</v>
      </c>
      <c r="H131" s="206">
        <v>16707245</v>
      </c>
      <c r="I131" s="206">
        <v>32910034</v>
      </c>
      <c r="J131" s="206">
        <v>3225435</v>
      </c>
      <c r="K131" s="207">
        <f t="shared" si="42"/>
        <v>186884792</v>
      </c>
    </row>
    <row r="132" spans="1:11" ht="23.25">
      <c r="A132" s="194" t="s">
        <v>33</v>
      </c>
      <c r="B132" s="206">
        <v>3062335</v>
      </c>
      <c r="C132" s="206">
        <v>3037241</v>
      </c>
      <c r="D132" s="206">
        <v>19103530</v>
      </c>
      <c r="E132" s="206">
        <v>39019200</v>
      </c>
      <c r="F132" s="206">
        <v>5106355</v>
      </c>
      <c r="G132" s="206">
        <v>65633069</v>
      </c>
      <c r="H132" s="206">
        <v>16642215</v>
      </c>
      <c r="I132" s="206">
        <v>36400084</v>
      </c>
      <c r="J132" s="206">
        <v>2769106</v>
      </c>
      <c r="K132" s="207">
        <f t="shared" si="42"/>
        <v>190773135</v>
      </c>
    </row>
    <row r="133" spans="1:11" ht="23.25">
      <c r="A133" s="194" t="s">
        <v>35</v>
      </c>
      <c r="B133" s="206">
        <v>2823334</v>
      </c>
      <c r="C133" s="206">
        <v>3038747</v>
      </c>
      <c r="D133" s="206">
        <v>18885550</v>
      </c>
      <c r="E133" s="206">
        <v>41030925</v>
      </c>
      <c r="F133" s="206">
        <v>6028756</v>
      </c>
      <c r="G133" s="206">
        <v>64357017</v>
      </c>
      <c r="H133" s="206">
        <v>17087403</v>
      </c>
      <c r="I133" s="206">
        <v>39613164</v>
      </c>
      <c r="J133" s="206">
        <v>3005047</v>
      </c>
      <c r="K133" s="207">
        <f t="shared" si="42"/>
        <v>195869943</v>
      </c>
    </row>
    <row r="134" spans="1:11" ht="23.25">
      <c r="A134" s="194" t="s">
        <v>33</v>
      </c>
      <c r="B134" s="206">
        <v>3062335</v>
      </c>
      <c r="C134" s="206">
        <v>3037241</v>
      </c>
      <c r="D134" s="206">
        <v>19103530</v>
      </c>
      <c r="E134" s="206">
        <v>39019200</v>
      </c>
      <c r="F134" s="206">
        <v>5106355</v>
      </c>
      <c r="G134" s="206">
        <v>65633069</v>
      </c>
      <c r="H134" s="206">
        <v>16642215</v>
      </c>
      <c r="I134" s="206">
        <v>36400084</v>
      </c>
      <c r="J134" s="206">
        <v>2769106</v>
      </c>
      <c r="K134" s="207">
        <f t="shared" si="42"/>
        <v>190773135</v>
      </c>
    </row>
    <row r="135" spans="1:11" ht="23.25">
      <c r="A135" s="194" t="s">
        <v>35</v>
      </c>
      <c r="B135" s="206">
        <v>2823334</v>
      </c>
      <c r="C135" s="206">
        <v>3038747</v>
      </c>
      <c r="D135" s="206">
        <v>18885550</v>
      </c>
      <c r="E135" s="206">
        <v>41030925</v>
      </c>
      <c r="F135" s="206">
        <v>6028756</v>
      </c>
      <c r="G135" s="206">
        <v>64357017</v>
      </c>
      <c r="H135" s="206">
        <v>17087403</v>
      </c>
      <c r="I135" s="206">
        <v>39613164</v>
      </c>
      <c r="J135" s="206">
        <v>3005047</v>
      </c>
      <c r="K135" s="207">
        <f t="shared" si="42"/>
        <v>195869943</v>
      </c>
    </row>
    <row r="136" spans="1:11" ht="23.25">
      <c r="A136" s="194" t="s">
        <v>36</v>
      </c>
      <c r="B136" s="206">
        <v>2953010</v>
      </c>
      <c r="C136" s="206">
        <v>3023836</v>
      </c>
      <c r="D136" s="206">
        <v>17765987</v>
      </c>
      <c r="E136" s="206">
        <v>42994731</v>
      </c>
      <c r="F136" s="206">
        <v>6251213</v>
      </c>
      <c r="G136" s="206">
        <v>67429873</v>
      </c>
      <c r="H136" s="206">
        <v>17121460</v>
      </c>
      <c r="I136" s="206">
        <v>42147540</v>
      </c>
      <c r="J136" s="206">
        <v>2219356</v>
      </c>
      <c r="K136" s="207">
        <f t="shared" si="42"/>
        <v>201907006</v>
      </c>
    </row>
    <row r="137" spans="1:11" ht="23.25">
      <c r="A137" s="194" t="s">
        <v>37</v>
      </c>
      <c r="B137" s="206">
        <v>1768686</v>
      </c>
      <c r="C137" s="206">
        <v>3120037</v>
      </c>
      <c r="D137" s="206">
        <v>18419986</v>
      </c>
      <c r="E137" s="206">
        <v>37490067</v>
      </c>
      <c r="F137" s="206">
        <v>4815022</v>
      </c>
      <c r="G137" s="206">
        <v>66852459</v>
      </c>
      <c r="H137" s="206">
        <v>24084142</v>
      </c>
      <c r="I137" s="206">
        <v>41888737</v>
      </c>
      <c r="J137" s="206">
        <v>3316607</v>
      </c>
      <c r="K137" s="207">
        <f t="shared" si="42"/>
        <v>201755743</v>
      </c>
    </row>
    <row r="138" spans="1:11" ht="23.25">
      <c r="A138" s="194"/>
      <c r="B138" s="206"/>
      <c r="C138" s="206"/>
      <c r="D138" s="206"/>
      <c r="E138" s="206"/>
      <c r="F138" s="206"/>
      <c r="G138" s="206"/>
      <c r="H138" s="206"/>
      <c r="I138" s="206"/>
      <c r="J138" s="206"/>
      <c r="K138" s="207"/>
    </row>
    <row r="139" spans="1:11" ht="23.25">
      <c r="A139" s="194"/>
      <c r="B139" s="206"/>
      <c r="C139" s="206"/>
      <c r="D139" s="206"/>
      <c r="E139" s="206"/>
      <c r="F139" s="206"/>
      <c r="G139" s="206"/>
      <c r="H139" s="206"/>
      <c r="I139" s="206"/>
      <c r="J139" s="206"/>
      <c r="K139" s="207"/>
    </row>
    <row r="140" spans="1:11" ht="23.25">
      <c r="A140" s="194"/>
      <c r="B140" s="206"/>
      <c r="C140" s="206"/>
      <c r="D140" s="206"/>
      <c r="E140" s="206"/>
      <c r="F140" s="206"/>
      <c r="G140" s="206"/>
      <c r="H140" s="206"/>
      <c r="I140" s="206"/>
      <c r="J140" s="206"/>
      <c r="K140" s="207"/>
    </row>
    <row r="141" spans="1:11" ht="23.25">
      <c r="A141" s="194"/>
      <c r="B141" s="206"/>
      <c r="C141" s="206"/>
      <c r="D141" s="206"/>
      <c r="E141" s="206"/>
      <c r="F141" s="206"/>
      <c r="G141" s="206"/>
      <c r="H141" s="206"/>
      <c r="I141" s="206"/>
      <c r="J141" s="206"/>
      <c r="K141" s="207"/>
    </row>
    <row r="142" spans="1:11" s="212" customFormat="1" ht="23.25">
      <c r="A142" s="194">
        <v>2007</v>
      </c>
      <c r="K142" s="213"/>
    </row>
    <row r="143" spans="1:11" ht="23.25">
      <c r="A143" s="194" t="s">
        <v>25</v>
      </c>
      <c r="B143" s="206">
        <v>2249122</v>
      </c>
      <c r="C143" s="206">
        <v>3231113</v>
      </c>
      <c r="D143" s="206">
        <v>22375599</v>
      </c>
      <c r="E143" s="206">
        <v>39299749</v>
      </c>
      <c r="F143" s="206">
        <v>6322145</v>
      </c>
      <c r="G143" s="206">
        <v>65854530</v>
      </c>
      <c r="H143" s="206">
        <v>25303190</v>
      </c>
      <c r="I143" s="206">
        <v>36717376</v>
      </c>
      <c r="J143" s="206">
        <v>8958998</v>
      </c>
      <c r="K143" s="207">
        <f aca="true" t="shared" si="43" ref="K143:K154">SUM(B143:J143)</f>
        <v>210311822</v>
      </c>
    </row>
    <row r="144" spans="1:11" ht="23.25">
      <c r="A144" s="194" t="s">
        <v>26</v>
      </c>
      <c r="B144" s="206">
        <v>3238825</v>
      </c>
      <c r="C144" s="206">
        <v>3502197</v>
      </c>
      <c r="D144" s="206">
        <v>22284560</v>
      </c>
      <c r="E144" s="206">
        <v>40093433</v>
      </c>
      <c r="F144" s="206">
        <v>5727347</v>
      </c>
      <c r="G144" s="206">
        <v>68597540</v>
      </c>
      <c r="H144" s="206">
        <v>27272017</v>
      </c>
      <c r="I144" s="206">
        <v>37942277</v>
      </c>
      <c r="J144" s="206">
        <v>2288702</v>
      </c>
      <c r="K144" s="207">
        <f t="shared" si="43"/>
        <v>210946898</v>
      </c>
    </row>
    <row r="145" spans="1:11" ht="23.25">
      <c r="A145" s="194" t="s">
        <v>27</v>
      </c>
      <c r="B145" s="206">
        <v>2655400</v>
      </c>
      <c r="C145" s="206">
        <v>3371448</v>
      </c>
      <c r="D145" s="206">
        <v>20356874</v>
      </c>
      <c r="E145" s="206">
        <v>44038947</v>
      </c>
      <c r="F145" s="206">
        <v>6597910</v>
      </c>
      <c r="G145" s="206">
        <v>66252888</v>
      </c>
      <c r="H145" s="206">
        <v>29603756</v>
      </c>
      <c r="I145" s="206">
        <v>38562117</v>
      </c>
      <c r="J145" s="206">
        <v>3354904</v>
      </c>
      <c r="K145" s="207">
        <f t="shared" si="43"/>
        <v>214794244</v>
      </c>
    </row>
    <row r="146" spans="1:11" ht="23.25">
      <c r="A146" s="194" t="s">
        <v>28</v>
      </c>
      <c r="B146" s="206">
        <v>3290923</v>
      </c>
      <c r="C146" s="206">
        <v>3801060</v>
      </c>
      <c r="D146" s="206">
        <v>18469260</v>
      </c>
      <c r="E146" s="206">
        <v>44290355</v>
      </c>
      <c r="F146" s="206">
        <v>6068709</v>
      </c>
      <c r="G146" s="206">
        <v>73900643</v>
      </c>
      <c r="H146" s="206">
        <v>27719116</v>
      </c>
      <c r="I146" s="206">
        <v>43189302</v>
      </c>
      <c r="J146" s="206">
        <v>3051672</v>
      </c>
      <c r="K146" s="207">
        <f t="shared" si="43"/>
        <v>223781040</v>
      </c>
    </row>
    <row r="147" spans="1:11" ht="23.25">
      <c r="A147" s="194" t="s">
        <v>29</v>
      </c>
      <c r="B147" s="206">
        <v>3830541</v>
      </c>
      <c r="C147" s="206">
        <v>2076619</v>
      </c>
      <c r="D147" s="206">
        <v>19750944</v>
      </c>
      <c r="E147" s="206">
        <v>45435565</v>
      </c>
      <c r="F147" s="206">
        <v>6690432</v>
      </c>
      <c r="G147" s="206">
        <v>71487969</v>
      </c>
      <c r="H147" s="206">
        <v>27565683</v>
      </c>
      <c r="I147" s="206">
        <v>48683091</v>
      </c>
      <c r="J147" s="206">
        <v>6787155</v>
      </c>
      <c r="K147" s="207">
        <f t="shared" si="43"/>
        <v>232307999</v>
      </c>
    </row>
    <row r="148" spans="1:11" ht="23.25">
      <c r="A148" s="194" t="s">
        <v>30</v>
      </c>
      <c r="B148" s="206">
        <v>4152260</v>
      </c>
      <c r="C148" s="206">
        <v>3280016</v>
      </c>
      <c r="D148" s="206">
        <v>21540889</v>
      </c>
      <c r="E148" s="206">
        <v>46800983</v>
      </c>
      <c r="F148" s="206">
        <v>8691289</v>
      </c>
      <c r="G148" s="206">
        <v>73412495</v>
      </c>
      <c r="H148" s="206">
        <v>30767942</v>
      </c>
      <c r="I148" s="206">
        <v>44599339</v>
      </c>
      <c r="J148" s="206">
        <v>4563074</v>
      </c>
      <c r="K148" s="207">
        <f t="shared" si="43"/>
        <v>237808287</v>
      </c>
    </row>
    <row r="149" spans="1:11" ht="23.25">
      <c r="A149" s="194" t="s">
        <v>31</v>
      </c>
      <c r="B149" s="206">
        <v>4392866</v>
      </c>
      <c r="C149" s="206">
        <v>3626440</v>
      </c>
      <c r="D149" s="206">
        <v>19669897</v>
      </c>
      <c r="E149" s="206">
        <v>47909081</v>
      </c>
      <c r="F149" s="206">
        <v>9179954</v>
      </c>
      <c r="G149" s="206">
        <v>72958173</v>
      </c>
      <c r="H149" s="206">
        <v>29292937</v>
      </c>
      <c r="I149" s="206">
        <v>45901880</v>
      </c>
      <c r="J149" s="206">
        <v>3159454</v>
      </c>
      <c r="K149" s="207">
        <f t="shared" si="43"/>
        <v>236090682</v>
      </c>
    </row>
    <row r="150" spans="1:11" ht="23.25">
      <c r="A150" s="194" t="s">
        <v>32</v>
      </c>
      <c r="B150" s="206">
        <v>7777651</v>
      </c>
      <c r="C150" s="206">
        <v>3183722</v>
      </c>
      <c r="D150" s="206">
        <v>13836920</v>
      </c>
      <c r="E150" s="206">
        <v>42624362</v>
      </c>
      <c r="F150" s="206">
        <v>8134223</v>
      </c>
      <c r="G150" s="206">
        <v>76207411</v>
      </c>
      <c r="H150" s="206">
        <v>20462246</v>
      </c>
      <c r="I150" s="206">
        <v>58569212</v>
      </c>
      <c r="J150" s="206">
        <v>12509356</v>
      </c>
      <c r="K150" s="207">
        <f t="shared" si="43"/>
        <v>243305103</v>
      </c>
    </row>
    <row r="151" spans="1:11" ht="23.25">
      <c r="A151" s="194" t="s">
        <v>33</v>
      </c>
      <c r="B151" s="206">
        <v>6825018</v>
      </c>
      <c r="C151" s="206">
        <v>3387896</v>
      </c>
      <c r="D151" s="206">
        <v>15677495</v>
      </c>
      <c r="E151" s="206">
        <v>46661387</v>
      </c>
      <c r="F151" s="206">
        <v>6362455</v>
      </c>
      <c r="G151" s="206">
        <v>78572148</v>
      </c>
      <c r="H151" s="206">
        <v>20206589</v>
      </c>
      <c r="I151" s="206">
        <v>66097343</v>
      </c>
      <c r="J151" s="206">
        <v>14197408</v>
      </c>
      <c r="K151" s="207">
        <f t="shared" si="43"/>
        <v>257987739</v>
      </c>
    </row>
    <row r="152" spans="1:11" ht="23.25">
      <c r="A152" s="194" t="s">
        <v>35</v>
      </c>
      <c r="B152" s="206">
        <v>7280541</v>
      </c>
      <c r="C152" s="206">
        <v>3281478</v>
      </c>
      <c r="D152" s="206">
        <v>16813374</v>
      </c>
      <c r="E152" s="206">
        <v>49128938</v>
      </c>
      <c r="F152" s="206">
        <v>6419756</v>
      </c>
      <c r="G152" s="206">
        <v>79454035</v>
      </c>
      <c r="H152" s="206">
        <v>21748107</v>
      </c>
      <c r="I152" s="206">
        <v>80940063</v>
      </c>
      <c r="J152" s="206">
        <v>3769077</v>
      </c>
      <c r="K152" s="207">
        <f t="shared" si="43"/>
        <v>268835369</v>
      </c>
    </row>
    <row r="153" spans="1:11" ht="23.25">
      <c r="A153" s="194" t="s">
        <v>36</v>
      </c>
      <c r="B153" s="206">
        <v>7881424</v>
      </c>
      <c r="C153" s="206">
        <v>3891020</v>
      </c>
      <c r="D153" s="206">
        <v>14696605</v>
      </c>
      <c r="E153" s="206">
        <v>45445471</v>
      </c>
      <c r="F153" s="206">
        <v>7035627</v>
      </c>
      <c r="G153" s="206">
        <v>82360881</v>
      </c>
      <c r="H153" s="206">
        <v>26682541</v>
      </c>
      <c r="I153" s="206">
        <v>84774438</v>
      </c>
      <c r="J153" s="206">
        <v>5220548</v>
      </c>
      <c r="K153" s="207">
        <f t="shared" si="43"/>
        <v>277988555</v>
      </c>
    </row>
    <row r="154" spans="1:11" ht="23.25">
      <c r="A154" s="194" t="s">
        <v>37</v>
      </c>
      <c r="B154" s="206">
        <v>6938464</v>
      </c>
      <c r="C154" s="206">
        <v>4249986</v>
      </c>
      <c r="D154" s="206">
        <v>14012074</v>
      </c>
      <c r="E154" s="206">
        <v>47083525</v>
      </c>
      <c r="F154" s="206">
        <v>7047163</v>
      </c>
      <c r="G154" s="206">
        <v>80554961</v>
      </c>
      <c r="H154" s="206">
        <v>28287392</v>
      </c>
      <c r="I154" s="206">
        <v>87159502</v>
      </c>
      <c r="J154" s="206">
        <v>3950843</v>
      </c>
      <c r="K154" s="207">
        <f t="shared" si="43"/>
        <v>279283910</v>
      </c>
    </row>
    <row r="155" spans="1:11" ht="23.25">
      <c r="A155" s="194"/>
      <c r="B155" s="206"/>
      <c r="C155" s="206"/>
      <c r="D155" s="206"/>
      <c r="E155" s="206"/>
      <c r="F155" s="206"/>
      <c r="G155" s="206"/>
      <c r="H155" s="206"/>
      <c r="I155" s="206"/>
      <c r="J155" s="206"/>
      <c r="K155" s="207"/>
    </row>
    <row r="156" spans="1:11" ht="23.25">
      <c r="A156" s="194"/>
      <c r="B156" s="206"/>
      <c r="C156" s="206"/>
      <c r="D156" s="206"/>
      <c r="E156" s="206"/>
      <c r="F156" s="206"/>
      <c r="G156" s="206"/>
      <c r="H156" s="206"/>
      <c r="I156" s="206"/>
      <c r="J156" s="206"/>
      <c r="K156" s="207"/>
    </row>
    <row r="157" spans="1:11" ht="23.25">
      <c r="A157" s="194">
        <v>2008</v>
      </c>
      <c r="B157" s="206"/>
      <c r="C157" s="206"/>
      <c r="D157" s="206"/>
      <c r="E157" s="206"/>
      <c r="F157" s="206"/>
      <c r="G157" s="206"/>
      <c r="H157" s="206"/>
      <c r="I157" s="206"/>
      <c r="J157" s="206"/>
      <c r="K157" s="207"/>
    </row>
    <row r="158" spans="1:11" ht="23.25">
      <c r="A158" s="194" t="s">
        <v>25</v>
      </c>
      <c r="B158" s="206">
        <v>7701608</v>
      </c>
      <c r="C158" s="206">
        <v>3606044</v>
      </c>
      <c r="D158" s="206">
        <v>16402319</v>
      </c>
      <c r="E158" s="206">
        <v>49693134</v>
      </c>
      <c r="F158" s="206">
        <v>8385580</v>
      </c>
      <c r="G158" s="206">
        <v>84226364</v>
      </c>
      <c r="H158" s="206">
        <v>23877365</v>
      </c>
      <c r="I158" s="206">
        <v>95122877</v>
      </c>
      <c r="J158" s="206">
        <v>3421755</v>
      </c>
      <c r="K158" s="207">
        <f aca="true" t="shared" si="44" ref="K158:K183">SUM(B158:J158)</f>
        <v>292437046</v>
      </c>
    </row>
    <row r="159" spans="1:11" ht="23.25">
      <c r="A159" s="194" t="s">
        <v>26</v>
      </c>
      <c r="B159" s="206">
        <v>9429415</v>
      </c>
      <c r="C159" s="206">
        <v>2929967</v>
      </c>
      <c r="D159" s="206">
        <v>18073361</v>
      </c>
      <c r="E159" s="206">
        <v>55850569</v>
      </c>
      <c r="F159" s="206">
        <v>5623136</v>
      </c>
      <c r="G159" s="206">
        <v>87579388</v>
      </c>
      <c r="H159" s="206">
        <v>23713193</v>
      </c>
      <c r="I159" s="206">
        <v>91835562</v>
      </c>
      <c r="J159" s="206">
        <v>5756406</v>
      </c>
      <c r="K159" s="207">
        <f t="shared" si="44"/>
        <v>300790997</v>
      </c>
    </row>
    <row r="160" spans="1:11" ht="23.25">
      <c r="A160" s="194" t="s">
        <v>27</v>
      </c>
      <c r="B160" s="206">
        <v>9161196</v>
      </c>
      <c r="C160" s="206">
        <v>4362561</v>
      </c>
      <c r="D160" s="206">
        <v>20849538</v>
      </c>
      <c r="E160" s="206">
        <v>54911750</v>
      </c>
      <c r="F160" s="206">
        <v>6420353</v>
      </c>
      <c r="G160" s="206">
        <v>86359395</v>
      </c>
      <c r="H160" s="206">
        <v>26305798</v>
      </c>
      <c r="I160" s="206">
        <v>100937752</v>
      </c>
      <c r="J160" s="206">
        <v>4054772</v>
      </c>
      <c r="K160" s="207">
        <f t="shared" si="44"/>
        <v>313363115</v>
      </c>
    </row>
    <row r="161" spans="1:11" ht="23.25">
      <c r="A161" s="194" t="s">
        <v>28</v>
      </c>
      <c r="B161" s="206">
        <v>9895966</v>
      </c>
      <c r="C161" s="206">
        <v>4284510</v>
      </c>
      <c r="D161" s="206">
        <v>25486547</v>
      </c>
      <c r="E161" s="206">
        <v>63553078</v>
      </c>
      <c r="F161" s="206">
        <v>6549658</v>
      </c>
      <c r="G161" s="206">
        <v>92872886</v>
      </c>
      <c r="H161" s="206">
        <v>28290949</v>
      </c>
      <c r="I161" s="206">
        <v>100182080</v>
      </c>
      <c r="J161" s="206">
        <v>4236128</v>
      </c>
      <c r="K161" s="207">
        <f t="shared" si="44"/>
        <v>335351802</v>
      </c>
    </row>
    <row r="162" spans="1:11" ht="23.25">
      <c r="A162" s="194" t="s">
        <v>29</v>
      </c>
      <c r="B162" s="206">
        <v>7388561</v>
      </c>
      <c r="C162" s="206">
        <v>5020767</v>
      </c>
      <c r="D162" s="206">
        <v>18528019</v>
      </c>
      <c r="E162" s="206">
        <v>63933567</v>
      </c>
      <c r="F162" s="206">
        <v>9219432</v>
      </c>
      <c r="G162" s="206">
        <v>70205499</v>
      </c>
      <c r="H162" s="206">
        <v>26364899</v>
      </c>
      <c r="I162" s="206">
        <v>92013988</v>
      </c>
      <c r="J162" s="206">
        <v>4452333</v>
      </c>
      <c r="K162" s="207">
        <f t="shared" si="44"/>
        <v>297127065</v>
      </c>
    </row>
    <row r="163" spans="1:11" ht="23.25">
      <c r="A163" s="194" t="s">
        <v>30</v>
      </c>
      <c r="B163" s="206">
        <v>8874406</v>
      </c>
      <c r="C163" s="206">
        <v>4624139</v>
      </c>
      <c r="D163" s="206">
        <v>30997729</v>
      </c>
      <c r="E163" s="206">
        <v>62063778</v>
      </c>
      <c r="F163" s="206">
        <v>7614821</v>
      </c>
      <c r="G163" s="206">
        <v>86934447</v>
      </c>
      <c r="H163" s="206">
        <v>28824544</v>
      </c>
      <c r="I163" s="206">
        <v>100179460</v>
      </c>
      <c r="J163" s="206">
        <v>5278508</v>
      </c>
      <c r="K163" s="207">
        <f t="shared" si="44"/>
        <v>335391832</v>
      </c>
    </row>
    <row r="164" spans="1:11" ht="23.25">
      <c r="A164" s="194" t="s">
        <v>31</v>
      </c>
      <c r="B164" s="206">
        <v>13011952</v>
      </c>
      <c r="C164" s="206">
        <v>6448392</v>
      </c>
      <c r="D164" s="206">
        <v>34078382</v>
      </c>
      <c r="E164" s="206">
        <v>62237223</v>
      </c>
      <c r="F164" s="206">
        <v>8341329</v>
      </c>
      <c r="G164" s="206">
        <v>80390955</v>
      </c>
      <c r="H164" s="206">
        <v>30780221</v>
      </c>
      <c r="I164" s="206">
        <v>107028139</v>
      </c>
      <c r="J164" s="206">
        <v>4000715</v>
      </c>
      <c r="K164" s="207">
        <f>SUM(B164:J164)</f>
        <v>346317308</v>
      </c>
    </row>
    <row r="165" spans="1:11" ht="23.25">
      <c r="A165" s="194" t="s">
        <v>32</v>
      </c>
      <c r="B165" s="206">
        <v>14231846</v>
      </c>
      <c r="C165" s="206">
        <v>7340405</v>
      </c>
      <c r="D165" s="206">
        <v>35140532</v>
      </c>
      <c r="E165" s="206">
        <v>63933795</v>
      </c>
      <c r="F165" s="206">
        <v>7496265</v>
      </c>
      <c r="G165" s="206">
        <v>89839851</v>
      </c>
      <c r="H165" s="206">
        <v>27672711</v>
      </c>
      <c r="I165" s="206">
        <v>121369012</v>
      </c>
      <c r="J165" s="206">
        <v>4782203</v>
      </c>
      <c r="K165" s="207">
        <f t="shared" si="44"/>
        <v>371806620</v>
      </c>
    </row>
    <row r="166" spans="1:11" ht="23.25">
      <c r="A166" s="194" t="s">
        <v>33</v>
      </c>
      <c r="B166" s="206">
        <v>14637896</v>
      </c>
      <c r="C166" s="206">
        <v>7125595</v>
      </c>
      <c r="D166" s="206">
        <v>35891718</v>
      </c>
      <c r="E166" s="206">
        <v>64944114</v>
      </c>
      <c r="F166" s="206">
        <v>7457205</v>
      </c>
      <c r="G166" s="206">
        <f>72269756+8220957+10949619</f>
        <v>91440332</v>
      </c>
      <c r="H166" s="206">
        <v>32403723</v>
      </c>
      <c r="I166" s="206">
        <v>133562638</v>
      </c>
      <c r="J166" s="206">
        <v>4716105</v>
      </c>
      <c r="K166" s="207">
        <f t="shared" si="44"/>
        <v>392179326</v>
      </c>
    </row>
    <row r="167" spans="1:11" ht="23.25">
      <c r="A167" s="194" t="s">
        <v>35</v>
      </c>
      <c r="B167" s="206">
        <v>17931764</v>
      </c>
      <c r="C167" s="206">
        <v>7260796</v>
      </c>
      <c r="D167" s="206">
        <v>36726865</v>
      </c>
      <c r="E167" s="206">
        <v>66188278</v>
      </c>
      <c r="F167" s="206">
        <v>8409006</v>
      </c>
      <c r="G167" s="206">
        <v>104521417</v>
      </c>
      <c r="H167" s="206">
        <v>32194279</v>
      </c>
      <c r="I167" s="206">
        <v>129164642</v>
      </c>
      <c r="J167" s="206">
        <v>7606076</v>
      </c>
      <c r="K167" s="207">
        <f t="shared" si="44"/>
        <v>410003123</v>
      </c>
    </row>
    <row r="168" spans="1:11" ht="23.25">
      <c r="A168" s="194" t="s">
        <v>36</v>
      </c>
      <c r="B168" s="206">
        <v>18582636</v>
      </c>
      <c r="C168" s="206">
        <v>9127423</v>
      </c>
      <c r="D168" s="206">
        <v>41210409</v>
      </c>
      <c r="E168" s="206">
        <v>75271649</v>
      </c>
      <c r="F168" s="206">
        <v>8875813</v>
      </c>
      <c r="G168" s="206">
        <f>69013780+24768451+7783851+15346281</f>
        <v>116912363</v>
      </c>
      <c r="H168" s="206">
        <v>29829907</v>
      </c>
      <c r="I168" s="206">
        <v>138228198</v>
      </c>
      <c r="J168" s="206">
        <v>9910553</v>
      </c>
      <c r="K168" s="207">
        <f t="shared" si="44"/>
        <v>447948951</v>
      </c>
    </row>
    <row r="169" spans="1:11" ht="23.25">
      <c r="A169" s="194" t="s">
        <v>37</v>
      </c>
      <c r="B169" s="206">
        <v>20143285</v>
      </c>
      <c r="C169" s="206">
        <v>7893202</v>
      </c>
      <c r="D169" s="206">
        <v>37263715</v>
      </c>
      <c r="E169" s="206">
        <v>75424160</v>
      </c>
      <c r="F169" s="206">
        <v>8438782</v>
      </c>
      <c r="G169" s="206">
        <f>70066883+24072256+7057159+12733645</f>
        <v>113929943</v>
      </c>
      <c r="H169" s="206">
        <v>31846293</v>
      </c>
      <c r="I169" s="206">
        <v>132779695</v>
      </c>
      <c r="J169" s="206">
        <v>12101009</v>
      </c>
      <c r="K169" s="207">
        <f t="shared" si="44"/>
        <v>439820084</v>
      </c>
    </row>
    <row r="170" spans="1:11" ht="23.25">
      <c r="A170" s="194"/>
      <c r="B170" s="206"/>
      <c r="C170" s="206"/>
      <c r="D170" s="206"/>
      <c r="E170" s="206"/>
      <c r="F170" s="206"/>
      <c r="G170" s="206"/>
      <c r="H170" s="206"/>
      <c r="I170" s="206"/>
      <c r="J170" s="206"/>
      <c r="K170" s="207"/>
    </row>
    <row r="171" spans="1:11" ht="23.25">
      <c r="A171" s="194">
        <v>2009</v>
      </c>
      <c r="B171" s="206"/>
      <c r="C171" s="206"/>
      <c r="D171" s="206"/>
      <c r="E171" s="206"/>
      <c r="F171" s="206"/>
      <c r="G171" s="206"/>
      <c r="H171" s="206"/>
      <c r="I171" s="206"/>
      <c r="J171" s="206"/>
      <c r="K171" s="207"/>
    </row>
    <row r="172" spans="1:11" ht="23.25">
      <c r="A172" s="194" t="s">
        <v>25</v>
      </c>
      <c r="B172" s="206">
        <v>20602650</v>
      </c>
      <c r="C172" s="206">
        <v>8366724</v>
      </c>
      <c r="D172" s="206">
        <v>41885124</v>
      </c>
      <c r="E172" s="206">
        <v>78208089</v>
      </c>
      <c r="F172" s="206">
        <v>10149553</v>
      </c>
      <c r="G172" s="206">
        <f>71265272+26228928+8069453+13699389</f>
        <v>119263042</v>
      </c>
      <c r="H172" s="206">
        <v>41726304</v>
      </c>
      <c r="I172" s="206">
        <v>151136850</v>
      </c>
      <c r="J172" s="206">
        <v>9590134</v>
      </c>
      <c r="K172" s="207">
        <f t="shared" si="44"/>
        <v>480928470</v>
      </c>
    </row>
    <row r="173" spans="1:11" ht="23.25">
      <c r="A173" s="194" t="s">
        <v>26</v>
      </c>
      <c r="B173" s="206">
        <v>24862198</v>
      </c>
      <c r="C173" s="206">
        <v>8267922</v>
      </c>
      <c r="D173" s="206">
        <v>45471253</v>
      </c>
      <c r="E173" s="206">
        <v>91424570</v>
      </c>
      <c r="F173" s="206">
        <v>8698594</v>
      </c>
      <c r="G173" s="206">
        <f>13696999+6621851+24558044+72449058</f>
        <v>117325952</v>
      </c>
      <c r="H173" s="206">
        <v>47363350</v>
      </c>
      <c r="I173" s="206">
        <v>154305797</v>
      </c>
      <c r="J173" s="206">
        <v>11050472</v>
      </c>
      <c r="K173" s="207">
        <f t="shared" si="44"/>
        <v>508770108</v>
      </c>
    </row>
    <row r="174" spans="1:11" ht="23.25">
      <c r="A174" s="194" t="s">
        <v>27</v>
      </c>
      <c r="B174" s="206">
        <v>26648797</v>
      </c>
      <c r="C174" s="206">
        <v>7695815</v>
      </c>
      <c r="D174" s="206">
        <v>43960246</v>
      </c>
      <c r="E174" s="206">
        <v>97136169</v>
      </c>
      <c r="F174" s="206">
        <v>6841665</v>
      </c>
      <c r="G174" s="206">
        <v>121957423</v>
      </c>
      <c r="H174" s="206">
        <v>55078150</v>
      </c>
      <c r="I174" s="206">
        <v>152323649</v>
      </c>
      <c r="J174" s="206">
        <v>11080753</v>
      </c>
      <c r="K174" s="207">
        <f t="shared" si="44"/>
        <v>522722667</v>
      </c>
    </row>
    <row r="175" spans="1:11" ht="23.25">
      <c r="A175" s="194" t="s">
        <v>28</v>
      </c>
      <c r="B175" s="206">
        <v>29137107</v>
      </c>
      <c r="C175" s="206">
        <v>7379117</v>
      </c>
      <c r="D175" s="206">
        <v>49210337</v>
      </c>
      <c r="E175" s="206">
        <v>79798073</v>
      </c>
      <c r="F175" s="206">
        <v>5831763</v>
      </c>
      <c r="G175" s="206">
        <v>121818121</v>
      </c>
      <c r="H175" s="206">
        <v>48658850</v>
      </c>
      <c r="I175" s="206">
        <v>149665286</v>
      </c>
      <c r="J175" s="206">
        <v>16183464</v>
      </c>
      <c r="K175" s="207">
        <f t="shared" si="44"/>
        <v>507682118</v>
      </c>
    </row>
    <row r="176" spans="1:11" ht="23.25">
      <c r="A176" s="194" t="s">
        <v>29</v>
      </c>
      <c r="B176" s="206">
        <v>31276782</v>
      </c>
      <c r="C176" s="206">
        <v>9443638</v>
      </c>
      <c r="D176" s="206">
        <v>43470691</v>
      </c>
      <c r="E176" s="206">
        <v>92263871</v>
      </c>
      <c r="F176" s="206">
        <v>5612694</v>
      </c>
      <c r="G176" s="206">
        <v>127111802</v>
      </c>
      <c r="H176" s="206">
        <v>46137707</v>
      </c>
      <c r="I176" s="206">
        <v>146988291</v>
      </c>
      <c r="J176" s="206">
        <v>16419090</v>
      </c>
      <c r="K176" s="207">
        <f t="shared" si="44"/>
        <v>518724566</v>
      </c>
    </row>
    <row r="177" spans="1:11" ht="23.25">
      <c r="A177" s="194" t="s">
        <v>30</v>
      </c>
      <c r="B177" s="206">
        <v>28556019</v>
      </c>
      <c r="C177" s="206">
        <v>8137253</v>
      </c>
      <c r="D177" s="206">
        <v>40945216</v>
      </c>
      <c r="E177" s="206">
        <v>93908069</v>
      </c>
      <c r="F177" s="206">
        <v>3159418</v>
      </c>
      <c r="G177" s="206">
        <v>137656777</v>
      </c>
      <c r="H177" s="206">
        <v>58268789</v>
      </c>
      <c r="I177" s="206">
        <v>144081975</v>
      </c>
      <c r="J177" s="206">
        <v>13908317</v>
      </c>
      <c r="K177" s="207">
        <f t="shared" si="44"/>
        <v>528621833</v>
      </c>
    </row>
    <row r="178" spans="1:11" ht="23.25">
      <c r="A178" s="194" t="s">
        <v>31</v>
      </c>
      <c r="B178" s="206">
        <v>39059015</v>
      </c>
      <c r="C178" s="206">
        <v>7837407</v>
      </c>
      <c r="D178" s="206">
        <v>44558396</v>
      </c>
      <c r="E178" s="206">
        <v>104587573</v>
      </c>
      <c r="F178" s="206">
        <v>9201104</v>
      </c>
      <c r="G178" s="206">
        <v>129445366</v>
      </c>
      <c r="H178" s="206">
        <v>62303516</v>
      </c>
      <c r="I178" s="206">
        <v>146410314</v>
      </c>
      <c r="J178" s="206">
        <v>17234516</v>
      </c>
      <c r="K178" s="207">
        <f t="shared" si="44"/>
        <v>560637207</v>
      </c>
    </row>
    <row r="179" spans="1:11" ht="23.25">
      <c r="A179" s="194" t="s">
        <v>32</v>
      </c>
      <c r="B179" s="206">
        <v>37536902</v>
      </c>
      <c r="C179" s="206">
        <v>8907136</v>
      </c>
      <c r="D179" s="206">
        <v>46618044</v>
      </c>
      <c r="E179" s="206">
        <v>106511671</v>
      </c>
      <c r="F179" s="206">
        <v>9389995</v>
      </c>
      <c r="G179" s="206">
        <v>134852733</v>
      </c>
      <c r="H179" s="206">
        <v>67279319</v>
      </c>
      <c r="I179" s="206">
        <v>136229813</v>
      </c>
      <c r="J179" s="206">
        <v>23467291</v>
      </c>
      <c r="K179" s="207">
        <f t="shared" si="44"/>
        <v>570792904</v>
      </c>
    </row>
    <row r="180" spans="1:11" ht="23.25">
      <c r="A180" s="194" t="s">
        <v>33</v>
      </c>
      <c r="B180" s="206">
        <v>24828708</v>
      </c>
      <c r="C180" s="206">
        <v>10536443</v>
      </c>
      <c r="D180" s="206">
        <v>45462328</v>
      </c>
      <c r="E180" s="206">
        <v>120535133</v>
      </c>
      <c r="F180" s="206">
        <v>11573697</v>
      </c>
      <c r="G180" s="206">
        <v>138301202</v>
      </c>
      <c r="H180" s="206">
        <v>61804442</v>
      </c>
      <c r="I180" s="206">
        <v>172207222</v>
      </c>
      <c r="J180" s="206">
        <v>16665685</v>
      </c>
      <c r="K180" s="207">
        <f t="shared" si="44"/>
        <v>601914860</v>
      </c>
    </row>
    <row r="181" spans="1:11" ht="23.25">
      <c r="A181" s="194" t="s">
        <v>35</v>
      </c>
      <c r="B181" s="206">
        <v>37188341</v>
      </c>
      <c r="C181" s="206">
        <v>10103437</v>
      </c>
      <c r="D181" s="206">
        <v>53653160</v>
      </c>
      <c r="E181" s="206">
        <v>98581748</v>
      </c>
      <c r="F181" s="206">
        <v>6070061</v>
      </c>
      <c r="G181" s="206">
        <f>95625253+38833581+11425946+4892768</f>
        <v>150777548</v>
      </c>
      <c r="H181" s="206">
        <v>74213459</v>
      </c>
      <c r="I181" s="206">
        <v>156149687</v>
      </c>
      <c r="J181" s="206">
        <v>25476188</v>
      </c>
      <c r="K181" s="207">
        <f t="shared" si="44"/>
        <v>612213629</v>
      </c>
    </row>
    <row r="182" spans="1:11" ht="23.25">
      <c r="A182" s="194" t="s">
        <v>36</v>
      </c>
      <c r="B182" s="206">
        <v>28564868</v>
      </c>
      <c r="C182" s="206">
        <v>19476917</v>
      </c>
      <c r="D182" s="206">
        <v>46313928</v>
      </c>
      <c r="E182" s="206">
        <v>97925912</v>
      </c>
      <c r="F182" s="206">
        <v>4652892</v>
      </c>
      <c r="G182" s="206">
        <f>114996913+31856465+12257568+6400952</f>
        <v>165511898</v>
      </c>
      <c r="H182" s="206">
        <f>12281282+56351628</f>
        <v>68632910</v>
      </c>
      <c r="I182" s="206">
        <v>196388348</v>
      </c>
      <c r="J182" s="206">
        <v>16468623</v>
      </c>
      <c r="K182" s="207">
        <f t="shared" si="44"/>
        <v>643936296</v>
      </c>
    </row>
    <row r="183" spans="1:11" ht="23.25">
      <c r="A183" s="194" t="s">
        <v>37</v>
      </c>
      <c r="B183" s="206">
        <v>31221491</v>
      </c>
      <c r="C183" s="206">
        <v>11130401</v>
      </c>
      <c r="D183" s="206">
        <v>44499403</v>
      </c>
      <c r="E183" s="206">
        <v>103356147</v>
      </c>
      <c r="F183" s="206">
        <v>4513213</v>
      </c>
      <c r="G183" s="206">
        <v>177728001</v>
      </c>
      <c r="H183" s="206">
        <v>80122224</v>
      </c>
      <c r="I183" s="206">
        <v>190901552</v>
      </c>
      <c r="J183" s="206">
        <v>15494370</v>
      </c>
      <c r="K183" s="207">
        <f t="shared" si="44"/>
        <v>658966802</v>
      </c>
    </row>
    <row r="184" spans="1:11" ht="23.25">
      <c r="A184" s="194"/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</row>
    <row r="185" spans="1:11" ht="23.25">
      <c r="A185" s="194">
        <v>2010</v>
      </c>
      <c r="B185" s="206"/>
      <c r="C185" s="206"/>
      <c r="D185" s="206"/>
      <c r="E185" s="206"/>
      <c r="F185" s="206"/>
      <c r="G185" s="206"/>
      <c r="H185" s="206"/>
      <c r="I185" s="206"/>
      <c r="J185" s="206"/>
      <c r="K185" s="207"/>
    </row>
    <row r="186" spans="1:11" ht="23.25">
      <c r="A186" s="194" t="s">
        <v>25</v>
      </c>
      <c r="B186" s="206">
        <v>31972363</v>
      </c>
      <c r="C186" s="206">
        <v>12310469</v>
      </c>
      <c r="D186" s="206">
        <v>47106627</v>
      </c>
      <c r="E186" s="206">
        <v>95497393</v>
      </c>
      <c r="F186" s="206">
        <v>3895272</v>
      </c>
      <c r="G186" s="206">
        <f>123389883+45825396+13338203+3858782</f>
        <v>186412264</v>
      </c>
      <c r="H186" s="206">
        <v>77394427</v>
      </c>
      <c r="I186" s="206">
        <v>201044526</v>
      </c>
      <c r="J186" s="206">
        <v>20138846</v>
      </c>
      <c r="K186" s="207">
        <f aca="true" t="shared" si="45" ref="K186:K191">SUM(B186:J186)</f>
        <v>675772187</v>
      </c>
    </row>
    <row r="187" spans="1:25" ht="23.25">
      <c r="A187" s="194" t="s">
        <v>26</v>
      </c>
      <c r="B187" s="206">
        <v>42513873</v>
      </c>
      <c r="C187" s="206">
        <v>11130501</v>
      </c>
      <c r="D187" s="206">
        <v>42021066</v>
      </c>
      <c r="E187" s="206">
        <v>111651032</v>
      </c>
      <c r="F187" s="206">
        <v>6194359</v>
      </c>
      <c r="G187" s="206">
        <f>108810748+39390966+11750178+5610807</f>
        <v>165562699</v>
      </c>
      <c r="H187" s="206">
        <v>86895782</v>
      </c>
      <c r="I187" s="206">
        <v>203342358</v>
      </c>
      <c r="J187" s="206">
        <v>21395007</v>
      </c>
      <c r="K187" s="207">
        <f t="shared" si="45"/>
        <v>690706677</v>
      </c>
      <c r="L187" s="197" t="e">
        <f>L186/L154*100</f>
        <v>#DIV/0!</v>
      </c>
      <c r="M187" s="197" t="e">
        <f>M186/M154*100</f>
        <v>#DIV/0!</v>
      </c>
      <c r="N187" s="197" t="e">
        <f>N186/N154*100</f>
        <v>#DIV/0!</v>
      </c>
      <c r="O187" s="197" t="e">
        <f aca="true" t="shared" si="46" ref="O187:Y187">O186/O154*100</f>
        <v>#DIV/0!</v>
      </c>
      <c r="P187" s="197" t="e">
        <f>P186/P154*100</f>
        <v>#DIV/0!</v>
      </c>
      <c r="Q187" s="197" t="e">
        <f t="shared" si="46"/>
        <v>#DIV/0!</v>
      </c>
      <c r="R187" s="197" t="e">
        <f>R186/R154*100</f>
        <v>#DIV/0!</v>
      </c>
      <c r="S187" s="197" t="e">
        <f t="shared" si="46"/>
        <v>#DIV/0!</v>
      </c>
      <c r="T187" s="197" t="e">
        <f t="shared" si="46"/>
        <v>#DIV/0!</v>
      </c>
      <c r="U187" s="197" t="e">
        <f t="shared" si="46"/>
        <v>#DIV/0!</v>
      </c>
      <c r="V187" s="197" t="e">
        <f t="shared" si="46"/>
        <v>#DIV/0!</v>
      </c>
      <c r="W187" s="197" t="e">
        <f t="shared" si="46"/>
        <v>#DIV/0!</v>
      </c>
      <c r="X187" s="197" t="e">
        <f t="shared" si="46"/>
        <v>#DIV/0!</v>
      </c>
      <c r="Y187" s="197" t="e">
        <f t="shared" si="46"/>
        <v>#DIV/0!</v>
      </c>
    </row>
    <row r="188" spans="1:11" ht="23.25">
      <c r="A188" s="194" t="s">
        <v>27</v>
      </c>
      <c r="B188" s="206">
        <v>46104405</v>
      </c>
      <c r="C188" s="206">
        <v>11975369</v>
      </c>
      <c r="D188" s="206">
        <v>48279326</v>
      </c>
      <c r="E188" s="206">
        <v>96619536</v>
      </c>
      <c r="F188" s="206">
        <v>8340708</v>
      </c>
      <c r="G188" s="206">
        <f>117483797+40152956+13378365+5607807</f>
        <v>176622925</v>
      </c>
      <c r="H188" s="206">
        <v>89102148</v>
      </c>
      <c r="I188" s="206">
        <v>202729749</v>
      </c>
      <c r="J188" s="206">
        <v>17708141</v>
      </c>
      <c r="K188" s="207">
        <f t="shared" si="45"/>
        <v>697482307</v>
      </c>
    </row>
    <row r="189" spans="1:11" ht="23.25">
      <c r="A189" s="194" t="s">
        <v>28</v>
      </c>
      <c r="B189" s="206">
        <v>52913974</v>
      </c>
      <c r="C189" s="206">
        <v>12121461</v>
      </c>
      <c r="D189" s="206">
        <v>52139161</v>
      </c>
      <c r="E189" s="206">
        <v>105016612</v>
      </c>
      <c r="F189" s="206">
        <v>8250277</v>
      </c>
      <c r="G189" s="206">
        <f>119578339+42719767+11698160+5647807</f>
        <v>179644073</v>
      </c>
      <c r="H189" s="206">
        <v>85238907</v>
      </c>
      <c r="I189" s="206">
        <v>204342731</v>
      </c>
      <c r="J189" s="206">
        <v>18404698</v>
      </c>
      <c r="K189" s="207">
        <f t="shared" si="45"/>
        <v>718071894</v>
      </c>
    </row>
    <row r="190" spans="1:11" ht="23.25">
      <c r="A190" s="194" t="s">
        <v>29</v>
      </c>
      <c r="B190" s="206">
        <v>44316960</v>
      </c>
      <c r="C190" s="206">
        <v>17668062</v>
      </c>
      <c r="D190" s="206">
        <v>53116811</v>
      </c>
      <c r="E190" s="206">
        <v>117297711</v>
      </c>
      <c r="F190" s="206">
        <v>8556245</v>
      </c>
      <c r="G190" s="206">
        <f>114562069+40949656+16556079+6503398</f>
        <v>178571202</v>
      </c>
      <c r="H190" s="206">
        <v>88700650</v>
      </c>
      <c r="I190" s="206">
        <v>201372547</v>
      </c>
      <c r="J190" s="206">
        <v>20164787</v>
      </c>
      <c r="K190" s="207">
        <f t="shared" si="45"/>
        <v>729764975</v>
      </c>
    </row>
    <row r="191" spans="1:11" ht="23.25">
      <c r="A191" s="194" t="s">
        <v>30</v>
      </c>
      <c r="B191" s="206">
        <v>48604895</v>
      </c>
      <c r="C191" s="206">
        <v>16642927</v>
      </c>
      <c r="D191" s="206">
        <v>68937256</v>
      </c>
      <c r="E191" s="206">
        <v>121181620</v>
      </c>
      <c r="F191" s="206">
        <v>11216043</v>
      </c>
      <c r="G191" s="206">
        <f>130050906+41391853+14161142+11073524</f>
        <v>196677425</v>
      </c>
      <c r="H191" s="206">
        <v>96908987</v>
      </c>
      <c r="I191" s="206">
        <v>178356867</v>
      </c>
      <c r="J191" s="206">
        <v>23699418</v>
      </c>
      <c r="K191" s="207">
        <f t="shared" si="45"/>
        <v>762225438</v>
      </c>
    </row>
    <row r="192" spans="1:11" ht="23.25">
      <c r="A192" s="194" t="s">
        <v>31</v>
      </c>
      <c r="B192" s="206">
        <v>44693870</v>
      </c>
      <c r="C192" s="206">
        <v>15935122</v>
      </c>
      <c r="D192" s="206">
        <v>76250330</v>
      </c>
      <c r="E192" s="206">
        <v>122360332</v>
      </c>
      <c r="F192" s="206">
        <v>13039980</v>
      </c>
      <c r="G192" s="206">
        <v>189521170</v>
      </c>
      <c r="H192" s="206">
        <v>88795734</v>
      </c>
      <c r="I192" s="206">
        <v>179850512</v>
      </c>
      <c r="J192" s="206">
        <v>26011618</v>
      </c>
      <c r="K192" s="207">
        <v>756458668</v>
      </c>
    </row>
    <row r="193" spans="1:11" ht="23.25">
      <c r="A193" s="194" t="s">
        <v>32</v>
      </c>
      <c r="B193" s="206">
        <v>49568666.64</v>
      </c>
      <c r="C193" s="206">
        <v>14145081.25</v>
      </c>
      <c r="D193" s="206">
        <v>82784348</v>
      </c>
      <c r="E193" s="206">
        <v>127857877</v>
      </c>
      <c r="F193" s="206">
        <v>10869259</v>
      </c>
      <c r="G193" s="206">
        <v>194914103</v>
      </c>
      <c r="H193" s="206">
        <v>89502816</v>
      </c>
      <c r="I193" s="206">
        <v>187340067</v>
      </c>
      <c r="J193" s="206">
        <v>22544159</v>
      </c>
      <c r="K193" s="207">
        <v>779526376.89</v>
      </c>
    </row>
    <row r="194" spans="1:11" ht="23.25">
      <c r="A194" s="194" t="s">
        <v>33</v>
      </c>
      <c r="B194" s="206">
        <v>50331928.23</v>
      </c>
      <c r="C194" s="206">
        <v>12027484</v>
      </c>
      <c r="D194" s="206">
        <v>73625418</v>
      </c>
      <c r="E194" s="206">
        <v>124896476</v>
      </c>
      <c r="F194" s="206">
        <v>8636784</v>
      </c>
      <c r="G194" s="206">
        <v>215556719</v>
      </c>
      <c r="H194" s="206">
        <v>101739304</v>
      </c>
      <c r="I194" s="206">
        <v>207357122</v>
      </c>
      <c r="J194" s="206">
        <v>24915677</v>
      </c>
      <c r="K194" s="207">
        <v>819086912.23</v>
      </c>
    </row>
    <row r="195" spans="1:11" ht="23.25">
      <c r="A195" s="194" t="s">
        <v>35</v>
      </c>
      <c r="B195" s="206">
        <v>53759087</v>
      </c>
      <c r="C195" s="206">
        <v>14395480</v>
      </c>
      <c r="D195" s="206">
        <v>79662042</v>
      </c>
      <c r="E195" s="206">
        <v>129236074</v>
      </c>
      <c r="F195" s="206">
        <v>7402840</v>
      </c>
      <c r="G195" s="206">
        <v>228006253</v>
      </c>
      <c r="H195" s="206">
        <v>95378964</v>
      </c>
      <c r="I195" s="206">
        <v>227216293</v>
      </c>
      <c r="J195" s="206">
        <v>29009784</v>
      </c>
      <c r="K195" s="207">
        <v>864066817</v>
      </c>
    </row>
    <row r="196" spans="1:11" ht="23.25">
      <c r="A196" s="194" t="s">
        <v>36</v>
      </c>
      <c r="B196" s="206">
        <v>54014159</v>
      </c>
      <c r="C196" s="206">
        <v>14968457</v>
      </c>
      <c r="D196" s="206">
        <v>70413934</v>
      </c>
      <c r="E196" s="206">
        <v>135078401</v>
      </c>
      <c r="F196" s="206">
        <v>9162365</v>
      </c>
      <c r="G196" s="206">
        <v>253514128</v>
      </c>
      <c r="H196" s="206">
        <v>92502517</v>
      </c>
      <c r="I196" s="206">
        <v>209880980</v>
      </c>
      <c r="J196" s="206">
        <v>26190310</v>
      </c>
      <c r="K196" s="207">
        <v>865725251</v>
      </c>
    </row>
    <row r="197" spans="1:11" ht="23.25">
      <c r="A197" s="194" t="s">
        <v>37</v>
      </c>
      <c r="B197" s="206">
        <v>58493609</v>
      </c>
      <c r="C197" s="206">
        <v>16751525</v>
      </c>
      <c r="D197" s="206">
        <v>76127873</v>
      </c>
      <c r="E197" s="206">
        <v>138194813</v>
      </c>
      <c r="F197" s="206">
        <v>5525880</v>
      </c>
      <c r="G197" s="206">
        <v>259614599</v>
      </c>
      <c r="H197" s="206">
        <v>91156021</v>
      </c>
      <c r="I197" s="206">
        <v>204328239</v>
      </c>
      <c r="J197" s="206">
        <v>24512199</v>
      </c>
      <c r="K197" s="207">
        <v>874704758</v>
      </c>
    </row>
    <row r="198" spans="1:11" ht="23.25">
      <c r="A198" s="194"/>
      <c r="B198" s="206"/>
      <c r="C198" s="206"/>
      <c r="G198" s="206"/>
      <c r="J198" s="207"/>
      <c r="K198" s="207"/>
    </row>
    <row r="199" spans="1:11" ht="23.25">
      <c r="A199" s="194">
        <v>2011</v>
      </c>
      <c r="B199" s="206"/>
      <c r="C199" s="206"/>
      <c r="D199" s="206"/>
      <c r="E199" s="206"/>
      <c r="F199" s="206"/>
      <c r="G199" s="206"/>
      <c r="H199" s="206"/>
      <c r="I199" s="206"/>
      <c r="J199" s="206"/>
      <c r="K199" s="207"/>
    </row>
    <row r="200" spans="1:11" ht="23.25">
      <c r="A200" s="194" t="s">
        <v>25</v>
      </c>
      <c r="B200" s="206">
        <v>58518517</v>
      </c>
      <c r="C200" s="206">
        <v>19221495</v>
      </c>
      <c r="D200" s="206">
        <v>81240894</v>
      </c>
      <c r="E200" s="206">
        <v>140892427</v>
      </c>
      <c r="F200" s="206">
        <v>25132349</v>
      </c>
      <c r="G200" s="206">
        <f>148117881+55421781+25101120+16287795</f>
        <v>244928577</v>
      </c>
      <c r="H200" s="206">
        <v>87988582</v>
      </c>
      <c r="I200" s="206">
        <v>212181871</v>
      </c>
      <c r="J200" s="206">
        <v>22693515</v>
      </c>
      <c r="K200" s="207">
        <f aca="true" t="shared" si="47" ref="K200:K211">SUM(B200:J200)</f>
        <v>892798227</v>
      </c>
    </row>
    <row r="201" spans="1:11" ht="23.25">
      <c r="A201" s="194" t="s">
        <v>26</v>
      </c>
      <c r="B201" s="206">
        <v>62979065</v>
      </c>
      <c r="C201" s="206">
        <v>17385131</v>
      </c>
      <c r="D201" s="206">
        <v>86797907</v>
      </c>
      <c r="E201" s="206">
        <v>137406949</v>
      </c>
      <c r="F201" s="206">
        <v>20899123</v>
      </c>
      <c r="G201" s="206">
        <f>153037364+21680965+40295533+49186374</f>
        <v>264200236</v>
      </c>
      <c r="H201" s="206">
        <v>91455025</v>
      </c>
      <c r="I201" s="206">
        <v>214292237</v>
      </c>
      <c r="J201" s="206">
        <v>20964490</v>
      </c>
      <c r="K201" s="207">
        <f t="shared" si="47"/>
        <v>916380163</v>
      </c>
    </row>
    <row r="202" spans="1:11" ht="23.25">
      <c r="A202" s="194" t="s">
        <v>27</v>
      </c>
      <c r="B202" s="206">
        <v>64226610</v>
      </c>
      <c r="C202" s="206">
        <v>18717367</v>
      </c>
      <c r="D202" s="206">
        <v>90164151</v>
      </c>
      <c r="E202" s="206">
        <v>148755765</v>
      </c>
      <c r="F202" s="206">
        <v>18139679</v>
      </c>
      <c r="G202" s="206">
        <f>159167336+53938189+33405051+16798236</f>
        <v>263308812</v>
      </c>
      <c r="H202" s="206">
        <v>93960337</v>
      </c>
      <c r="I202" s="206">
        <v>228656175</v>
      </c>
      <c r="J202" s="206">
        <v>22023913</v>
      </c>
      <c r="K202" s="207">
        <f t="shared" si="47"/>
        <v>947952809</v>
      </c>
    </row>
    <row r="203" spans="1:11" ht="23.25">
      <c r="A203" s="194" t="s">
        <v>28</v>
      </c>
      <c r="B203" s="206">
        <v>63178428</v>
      </c>
      <c r="C203" s="206">
        <v>18149676</v>
      </c>
      <c r="D203" s="206">
        <v>82972575</v>
      </c>
      <c r="E203" s="206">
        <v>151061702</v>
      </c>
      <c r="F203" s="206">
        <v>22837471</v>
      </c>
      <c r="G203" s="206">
        <v>267368012</v>
      </c>
      <c r="H203" s="206">
        <v>83954150</v>
      </c>
      <c r="I203" s="206">
        <v>234877437</v>
      </c>
      <c r="J203" s="206">
        <v>22129044</v>
      </c>
      <c r="K203" s="207">
        <f t="shared" si="47"/>
        <v>946528495</v>
      </c>
    </row>
    <row r="204" spans="1:11" ht="23.25">
      <c r="A204" s="194" t="s">
        <v>29</v>
      </c>
      <c r="B204" s="206">
        <v>62352059</v>
      </c>
      <c r="C204" s="206">
        <v>17402304</v>
      </c>
      <c r="D204" s="206">
        <v>81808922</v>
      </c>
      <c r="E204" s="206">
        <v>154431541</v>
      </c>
      <c r="F204" s="206">
        <v>19734528</v>
      </c>
      <c r="G204" s="206">
        <v>269798706</v>
      </c>
      <c r="H204" s="206">
        <v>86989216</v>
      </c>
      <c r="I204" s="206">
        <v>244641517</v>
      </c>
      <c r="J204" s="206">
        <v>23242644</v>
      </c>
      <c r="K204" s="207">
        <f t="shared" si="47"/>
        <v>960401437</v>
      </c>
    </row>
    <row r="205" spans="1:11" ht="23.25">
      <c r="A205" s="194" t="s">
        <v>30</v>
      </c>
      <c r="B205" s="206">
        <v>62502719</v>
      </c>
      <c r="C205" s="206">
        <v>14579845</v>
      </c>
      <c r="D205" s="206">
        <v>75667551</v>
      </c>
      <c r="E205" s="206">
        <v>162445356</v>
      </c>
      <c r="F205" s="206">
        <v>18938831</v>
      </c>
      <c r="G205" s="206">
        <v>263356187</v>
      </c>
      <c r="H205" s="206">
        <v>84043351</v>
      </c>
      <c r="I205" s="206">
        <v>204314618</v>
      </c>
      <c r="J205" s="206">
        <v>58455789</v>
      </c>
      <c r="K205" s="207">
        <f t="shared" si="47"/>
        <v>944304247</v>
      </c>
    </row>
    <row r="206" spans="1:11" ht="23.25">
      <c r="A206" s="194" t="s">
        <v>31</v>
      </c>
      <c r="B206" s="206">
        <v>62311224</v>
      </c>
      <c r="C206" s="206">
        <v>13956311</v>
      </c>
      <c r="D206" s="206">
        <v>73542499</v>
      </c>
      <c r="E206" s="206">
        <v>164761354</v>
      </c>
      <c r="F206" s="206">
        <v>19663868</v>
      </c>
      <c r="G206" s="206">
        <v>282499687</v>
      </c>
      <c r="H206" s="206">
        <v>81045219</v>
      </c>
      <c r="I206" s="206">
        <v>250757991</v>
      </c>
      <c r="J206" s="206">
        <v>23983720</v>
      </c>
      <c r="K206" s="207">
        <f>SUM(B206:J206)</f>
        <v>972521873</v>
      </c>
    </row>
    <row r="207" spans="1:11" ht="23.25">
      <c r="A207" s="194" t="s">
        <v>32</v>
      </c>
      <c r="B207" s="206">
        <v>47303065</v>
      </c>
      <c r="C207" s="206">
        <v>14134595</v>
      </c>
      <c r="D207" s="206">
        <v>74147312</v>
      </c>
      <c r="E207" s="206">
        <v>179484680</v>
      </c>
      <c r="F207" s="206">
        <v>19110906</v>
      </c>
      <c r="G207" s="206">
        <v>271256762</v>
      </c>
      <c r="H207" s="206">
        <v>83062490</v>
      </c>
      <c r="I207" s="206">
        <v>247809703</v>
      </c>
      <c r="J207" s="206">
        <v>31816862</v>
      </c>
      <c r="K207" s="207">
        <f t="shared" si="47"/>
        <v>968126375</v>
      </c>
    </row>
    <row r="208" spans="1:11" ht="23.25">
      <c r="A208" s="194" t="s">
        <v>33</v>
      </c>
      <c r="B208" s="206">
        <v>60501294</v>
      </c>
      <c r="C208" s="206">
        <v>23879112</v>
      </c>
      <c r="D208" s="206">
        <v>58552264</v>
      </c>
      <c r="E208" s="206">
        <v>180247573</v>
      </c>
      <c r="F208" s="206">
        <v>21343981</v>
      </c>
      <c r="G208" s="206">
        <f>165799771+63060779+34341779+17352219</f>
        <v>280554548</v>
      </c>
      <c r="H208" s="206">
        <v>95821323</v>
      </c>
      <c r="I208" s="206">
        <f>219509940+635539+27024308</f>
        <v>247169787</v>
      </c>
      <c r="J208" s="206">
        <v>30228750</v>
      </c>
      <c r="K208" s="207">
        <f t="shared" si="47"/>
        <v>998298632</v>
      </c>
    </row>
    <row r="209" spans="1:11" ht="23.25">
      <c r="A209" s="194" t="s">
        <v>35</v>
      </c>
      <c r="B209" s="206">
        <v>57280852</v>
      </c>
      <c r="C209" s="206">
        <v>33325913</v>
      </c>
      <c r="D209" s="206">
        <v>59454713</v>
      </c>
      <c r="E209" s="206">
        <v>190682383</v>
      </c>
      <c r="F209" s="206">
        <v>18709795</v>
      </c>
      <c r="G209" s="206">
        <v>301391569</v>
      </c>
      <c r="H209" s="206">
        <v>75233122</v>
      </c>
      <c r="I209" s="206">
        <v>247057416</v>
      </c>
      <c r="J209" s="206">
        <v>25755613</v>
      </c>
      <c r="K209" s="207">
        <f t="shared" si="47"/>
        <v>1008891376</v>
      </c>
    </row>
    <row r="210" spans="1:11" ht="23.25">
      <c r="A210" s="194" t="s">
        <v>36</v>
      </c>
      <c r="B210" s="206">
        <v>56859332</v>
      </c>
      <c r="C210" s="206">
        <v>30430301</v>
      </c>
      <c r="D210" s="206">
        <v>81326526</v>
      </c>
      <c r="E210" s="206">
        <v>196468260</v>
      </c>
      <c r="F210" s="206">
        <v>18552326</v>
      </c>
      <c r="G210" s="206">
        <v>323106389</v>
      </c>
      <c r="H210" s="206">
        <v>80189484</v>
      </c>
      <c r="I210" s="206">
        <v>235850205</v>
      </c>
      <c r="J210" s="206">
        <v>31403194</v>
      </c>
      <c r="K210" s="207">
        <f t="shared" si="47"/>
        <v>1054186017</v>
      </c>
    </row>
    <row r="211" spans="1:11" ht="23.25">
      <c r="A211" s="194" t="s">
        <v>37</v>
      </c>
      <c r="B211" s="206">
        <v>75994219</v>
      </c>
      <c r="C211" s="206">
        <v>29991658</v>
      </c>
      <c r="D211" s="206">
        <v>82392463</v>
      </c>
      <c r="E211" s="206">
        <v>200373352</v>
      </c>
      <c r="F211" s="206">
        <v>18640776</v>
      </c>
      <c r="G211" s="206">
        <f>201480496+44023681+61152231+12243649</f>
        <v>318900057</v>
      </c>
      <c r="H211" s="206">
        <v>100318276</v>
      </c>
      <c r="I211" s="206">
        <f>195860708+10784859+11158258</f>
        <v>217803825</v>
      </c>
      <c r="J211" s="206">
        <v>27889321</v>
      </c>
      <c r="K211" s="207">
        <f t="shared" si="47"/>
        <v>1072303947</v>
      </c>
    </row>
    <row r="212" spans="1:11" ht="23.25">
      <c r="A212" s="194"/>
      <c r="B212" s="206"/>
      <c r="C212" s="206"/>
      <c r="D212" s="206"/>
      <c r="E212" s="206"/>
      <c r="F212" s="206"/>
      <c r="G212" s="206"/>
      <c r="H212" s="206"/>
      <c r="I212" s="206"/>
      <c r="J212" s="206"/>
      <c r="K212" s="207"/>
    </row>
    <row r="213" spans="1:11" ht="23.25">
      <c r="A213" s="194">
        <v>2012</v>
      </c>
      <c r="B213" s="206"/>
      <c r="C213" s="206"/>
      <c r="D213" s="206"/>
      <c r="E213" s="206"/>
      <c r="F213" s="206"/>
      <c r="G213" s="206"/>
      <c r="H213" s="206"/>
      <c r="I213" s="206"/>
      <c r="J213" s="206"/>
      <c r="K213" s="207"/>
    </row>
    <row r="214" spans="1:11" ht="23.25">
      <c r="A214" s="194" t="s">
        <v>25</v>
      </c>
      <c r="B214" s="206">
        <v>63515055</v>
      </c>
      <c r="C214" s="206">
        <v>30634863</v>
      </c>
      <c r="D214" s="206">
        <v>77834826</v>
      </c>
      <c r="E214" s="206">
        <v>196507959</v>
      </c>
      <c r="F214" s="206">
        <v>24005532</v>
      </c>
      <c r="G214" s="206">
        <v>337555591</v>
      </c>
      <c r="H214" s="206">
        <v>87081027</v>
      </c>
      <c r="I214" s="206">
        <v>178371886</v>
      </c>
      <c r="J214" s="206">
        <v>70931579</v>
      </c>
      <c r="K214" s="207">
        <f aca="true" t="shared" si="48" ref="K214:K225">SUM(B214:J214)</f>
        <v>1066438318</v>
      </c>
    </row>
    <row r="215" spans="1:11" ht="23.25">
      <c r="A215" s="194" t="s">
        <v>26</v>
      </c>
      <c r="B215" s="206">
        <v>85848858</v>
      </c>
      <c r="C215" s="206">
        <v>22647017</v>
      </c>
      <c r="D215" s="206">
        <v>76326798</v>
      </c>
      <c r="E215" s="206">
        <v>190455292</v>
      </c>
      <c r="F215" s="206">
        <v>21340143</v>
      </c>
      <c r="G215" s="206">
        <v>348989349</v>
      </c>
      <c r="H215" s="206">
        <v>75915573</v>
      </c>
      <c r="I215" s="206">
        <v>181667770</v>
      </c>
      <c r="J215" s="206">
        <v>69507085</v>
      </c>
      <c r="K215" s="207">
        <f t="shared" si="48"/>
        <v>1072697885</v>
      </c>
    </row>
    <row r="216" spans="1:11" ht="23.25">
      <c r="A216" s="194" t="s">
        <v>27</v>
      </c>
      <c r="B216" s="206">
        <v>87421350</v>
      </c>
      <c r="C216" s="206">
        <v>32068741</v>
      </c>
      <c r="D216" s="206">
        <v>77916281</v>
      </c>
      <c r="E216" s="206">
        <v>194002342</v>
      </c>
      <c r="F216" s="206">
        <v>13451636</v>
      </c>
      <c r="G216" s="206">
        <v>320791523</v>
      </c>
      <c r="H216" s="206">
        <v>96431185</v>
      </c>
      <c r="I216" s="206">
        <v>224054416</v>
      </c>
      <c r="J216" s="206">
        <v>45867935</v>
      </c>
      <c r="K216" s="207">
        <f t="shared" si="48"/>
        <v>1092005409</v>
      </c>
    </row>
    <row r="217" spans="1:11" ht="23.25">
      <c r="A217" s="194" t="s">
        <v>28</v>
      </c>
      <c r="B217" s="206">
        <v>87246770</v>
      </c>
      <c r="C217" s="206">
        <v>21584846</v>
      </c>
      <c r="D217" s="206">
        <v>75028487</v>
      </c>
      <c r="E217" s="206">
        <v>198127208</v>
      </c>
      <c r="F217" s="206">
        <v>13193703</v>
      </c>
      <c r="G217" s="206">
        <v>330775962</v>
      </c>
      <c r="H217" s="206">
        <v>91050001</v>
      </c>
      <c r="I217" s="206">
        <v>221666344</v>
      </c>
      <c r="J217" s="206">
        <v>43224803.23</v>
      </c>
      <c r="K217" s="207">
        <f t="shared" si="48"/>
        <v>1081898124.23</v>
      </c>
    </row>
    <row r="218" spans="1:11" ht="23.25">
      <c r="A218" s="194" t="s">
        <v>29</v>
      </c>
      <c r="B218" s="206">
        <v>88298738</v>
      </c>
      <c r="C218" s="206">
        <v>23146967</v>
      </c>
      <c r="D218" s="206">
        <v>72906515</v>
      </c>
      <c r="E218" s="206">
        <v>205218108</v>
      </c>
      <c r="F218" s="206">
        <v>14089177</v>
      </c>
      <c r="G218" s="206">
        <v>329244104</v>
      </c>
      <c r="H218" s="206">
        <v>96457157</v>
      </c>
      <c r="I218" s="206">
        <v>213989437</v>
      </c>
      <c r="J218" s="206">
        <v>46207827</v>
      </c>
      <c r="K218" s="207">
        <f t="shared" si="48"/>
        <v>1089558030</v>
      </c>
    </row>
    <row r="219" spans="1:11" ht="23.25">
      <c r="A219" s="194" t="s">
        <v>30</v>
      </c>
      <c r="B219" s="206">
        <v>88513554</v>
      </c>
      <c r="C219" s="206">
        <v>22461271</v>
      </c>
      <c r="D219" s="206">
        <v>69752141</v>
      </c>
      <c r="E219" s="206">
        <v>191229528</v>
      </c>
      <c r="F219" s="206">
        <v>14643160</v>
      </c>
      <c r="G219" s="206">
        <v>335499515</v>
      </c>
      <c r="H219" s="206">
        <v>94535900</v>
      </c>
      <c r="I219" s="206">
        <v>213997735</v>
      </c>
      <c r="J219" s="206">
        <v>52072892</v>
      </c>
      <c r="K219" s="207">
        <f t="shared" si="48"/>
        <v>1082705696</v>
      </c>
    </row>
    <row r="220" spans="1:11" ht="23.25">
      <c r="A220" s="194" t="s">
        <v>31</v>
      </c>
      <c r="B220" s="206">
        <v>89242067</v>
      </c>
      <c r="C220" s="206">
        <v>23879056</v>
      </c>
      <c r="D220" s="206">
        <v>66097493</v>
      </c>
      <c r="E220" s="206">
        <v>196291064</v>
      </c>
      <c r="F220" s="206">
        <v>14500520</v>
      </c>
      <c r="G220" s="206">
        <v>317604261</v>
      </c>
      <c r="H220" s="206">
        <v>101167151</v>
      </c>
      <c r="I220" s="206">
        <v>250761975</v>
      </c>
      <c r="J220" s="206">
        <v>41253456</v>
      </c>
      <c r="K220" s="207">
        <f t="shared" si="48"/>
        <v>1100797043</v>
      </c>
    </row>
    <row r="221" spans="1:11" ht="23.25">
      <c r="A221" s="194" t="s">
        <v>32</v>
      </c>
      <c r="B221" s="206">
        <v>88189659</v>
      </c>
      <c r="C221" s="206">
        <v>23807363</v>
      </c>
      <c r="D221" s="206">
        <v>79542811</v>
      </c>
      <c r="E221" s="206">
        <v>214467102</v>
      </c>
      <c r="F221" s="206">
        <v>14134170</v>
      </c>
      <c r="G221" s="206">
        <v>335874932</v>
      </c>
      <c r="H221" s="206">
        <v>111434997</v>
      </c>
      <c r="I221" s="206">
        <v>228966164</v>
      </c>
      <c r="J221" s="206">
        <v>42274106</v>
      </c>
      <c r="K221" s="207">
        <f t="shared" si="48"/>
        <v>1138691304</v>
      </c>
    </row>
    <row r="222" spans="1:11" ht="23.25">
      <c r="A222" s="194" t="s">
        <v>33</v>
      </c>
      <c r="B222" s="206">
        <v>93070785</v>
      </c>
      <c r="C222" s="206">
        <v>22518778</v>
      </c>
      <c r="D222" s="206">
        <v>79507992</v>
      </c>
      <c r="E222" s="206">
        <v>215477844</v>
      </c>
      <c r="F222" s="206">
        <v>13289920</v>
      </c>
      <c r="G222" s="206">
        <v>320658531</v>
      </c>
      <c r="H222" s="206">
        <v>120081278</v>
      </c>
      <c r="I222" s="206">
        <v>258515701</v>
      </c>
      <c r="J222" s="206">
        <v>36642633</v>
      </c>
      <c r="K222" s="207">
        <f t="shared" si="48"/>
        <v>1159763462</v>
      </c>
    </row>
    <row r="223" spans="1:11" ht="23.25">
      <c r="A223" s="194" t="s">
        <v>35</v>
      </c>
      <c r="B223" s="206">
        <v>81613994</v>
      </c>
      <c r="C223" s="206">
        <v>20212948</v>
      </c>
      <c r="D223" s="206">
        <v>75605715</v>
      </c>
      <c r="E223" s="206">
        <v>198169869</v>
      </c>
      <c r="F223" s="206">
        <v>13527555</v>
      </c>
      <c r="G223" s="206">
        <v>346993733</v>
      </c>
      <c r="H223" s="206">
        <v>114604647</v>
      </c>
      <c r="I223" s="206">
        <v>315952983</v>
      </c>
      <c r="J223" s="206">
        <v>34063964</v>
      </c>
      <c r="K223" s="207">
        <f t="shared" si="48"/>
        <v>1200745408</v>
      </c>
    </row>
    <row r="224" spans="1:11" ht="23.25">
      <c r="A224" s="194" t="s">
        <v>36</v>
      </c>
      <c r="B224" s="206">
        <v>80684597</v>
      </c>
      <c r="C224" s="206">
        <v>24006068</v>
      </c>
      <c r="D224" s="206">
        <v>72081646</v>
      </c>
      <c r="E224" s="206">
        <v>209856459</v>
      </c>
      <c r="F224" s="206">
        <v>11783966</v>
      </c>
      <c r="G224" s="206">
        <v>331981967</v>
      </c>
      <c r="H224" s="206">
        <v>116030127</v>
      </c>
      <c r="I224" s="206">
        <v>245811413</v>
      </c>
      <c r="J224" s="206">
        <v>42641465</v>
      </c>
      <c r="K224" s="207">
        <f t="shared" si="48"/>
        <v>1134877708</v>
      </c>
    </row>
    <row r="225" spans="1:11" ht="23.25">
      <c r="A225" s="194" t="s">
        <v>37</v>
      </c>
      <c r="B225" s="206">
        <v>81012532</v>
      </c>
      <c r="C225" s="206">
        <v>25309105</v>
      </c>
      <c r="D225" s="206">
        <v>83935067</v>
      </c>
      <c r="E225" s="206">
        <v>201862493</v>
      </c>
      <c r="F225" s="206">
        <v>11028687</v>
      </c>
      <c r="G225" s="206">
        <v>345695631</v>
      </c>
      <c r="H225" s="206">
        <v>117243730</v>
      </c>
      <c r="I225" s="206">
        <v>242406816</v>
      </c>
      <c r="J225" s="206">
        <v>42110201</v>
      </c>
      <c r="K225" s="207">
        <f t="shared" si="48"/>
        <v>1150604262</v>
      </c>
    </row>
    <row r="226" spans="1:11" ht="23.25">
      <c r="A226" s="194"/>
      <c r="B226" s="206"/>
      <c r="C226" s="206"/>
      <c r="D226" s="206"/>
      <c r="E226" s="206"/>
      <c r="F226" s="206"/>
      <c r="G226" s="206"/>
      <c r="H226" s="206"/>
      <c r="I226" s="206"/>
      <c r="J226" s="206"/>
      <c r="K226" s="207"/>
    </row>
    <row r="227" spans="1:11" s="246" customFormat="1" ht="23.25">
      <c r="A227" s="194">
        <v>2013</v>
      </c>
      <c r="B227" s="245"/>
      <c r="C227" s="245"/>
      <c r="D227" s="245"/>
      <c r="E227" s="245"/>
      <c r="F227" s="245"/>
      <c r="G227" s="245"/>
      <c r="H227" s="245"/>
      <c r="I227" s="245"/>
      <c r="J227" s="245"/>
      <c r="K227" s="244"/>
    </row>
    <row r="228" spans="1:11" s="246" customFormat="1" ht="23.25">
      <c r="A228" s="194" t="s">
        <v>25</v>
      </c>
      <c r="B228" s="206">
        <v>79237674</v>
      </c>
      <c r="C228" s="206">
        <v>26292622</v>
      </c>
      <c r="D228" s="206">
        <v>74993211</v>
      </c>
      <c r="E228" s="206">
        <v>201359923</v>
      </c>
      <c r="F228" s="206">
        <v>9564859</v>
      </c>
      <c r="G228" s="206">
        <v>351899575</v>
      </c>
      <c r="H228" s="206">
        <v>99759559</v>
      </c>
      <c r="I228" s="206">
        <v>261537713</v>
      </c>
      <c r="J228" s="206">
        <v>41901536</v>
      </c>
      <c r="K228" s="207">
        <f aca="true" t="shared" si="49" ref="K228:K234">SUM(B228:J228)</f>
        <v>1146546672</v>
      </c>
    </row>
    <row r="229" spans="1:11" s="246" customFormat="1" ht="23.25">
      <c r="A229" s="194" t="s">
        <v>26</v>
      </c>
      <c r="B229" s="206">
        <v>79237674</v>
      </c>
      <c r="C229" s="206">
        <v>26763295</v>
      </c>
      <c r="D229" s="206">
        <v>76687843</v>
      </c>
      <c r="E229" s="206">
        <v>202328572</v>
      </c>
      <c r="F229" s="206">
        <v>9564859</v>
      </c>
      <c r="G229" s="206">
        <v>353474229</v>
      </c>
      <c r="H229" s="206">
        <v>97201700</v>
      </c>
      <c r="I229" s="206">
        <v>261961217</v>
      </c>
      <c r="J229" s="206">
        <v>42409096</v>
      </c>
      <c r="K229" s="207">
        <f t="shared" si="49"/>
        <v>1149628485</v>
      </c>
    </row>
    <row r="230" spans="1:11" s="246" customFormat="1" ht="23.25">
      <c r="A230" s="194" t="s">
        <v>27</v>
      </c>
      <c r="B230" s="206">
        <v>76320082</v>
      </c>
      <c r="C230" s="206">
        <v>25724983</v>
      </c>
      <c r="D230" s="206">
        <v>71295687</v>
      </c>
      <c r="E230" s="206">
        <v>198608133</v>
      </c>
      <c r="F230" s="206">
        <v>17796257</v>
      </c>
      <c r="G230" s="206">
        <v>364528488</v>
      </c>
      <c r="H230" s="206">
        <v>81845545</v>
      </c>
      <c r="I230" s="206">
        <v>277100861</v>
      </c>
      <c r="J230" s="206">
        <v>54894734</v>
      </c>
      <c r="K230" s="207">
        <f t="shared" si="49"/>
        <v>1168114770</v>
      </c>
    </row>
    <row r="231" spans="1:11" ht="23.25">
      <c r="A231" s="194" t="s">
        <v>28</v>
      </c>
      <c r="B231" s="206">
        <v>73886276</v>
      </c>
      <c r="C231" s="206">
        <v>33994994</v>
      </c>
      <c r="D231" s="206">
        <v>79592708</v>
      </c>
      <c r="E231" s="206">
        <v>198113745</v>
      </c>
      <c r="F231" s="206">
        <v>12043933</v>
      </c>
      <c r="G231" s="206">
        <v>380758965</v>
      </c>
      <c r="H231" s="206">
        <v>102303814</v>
      </c>
      <c r="I231" s="206">
        <v>279799950</v>
      </c>
      <c r="J231" s="206">
        <v>41786400</v>
      </c>
      <c r="K231" s="207">
        <f t="shared" si="49"/>
        <v>1202280785</v>
      </c>
    </row>
    <row r="232" spans="1:11" ht="23.25">
      <c r="A232" s="194" t="s">
        <v>29</v>
      </c>
      <c r="B232" s="206">
        <v>77532654</v>
      </c>
      <c r="C232" s="206">
        <v>32968408</v>
      </c>
      <c r="D232" s="206">
        <v>87780164</v>
      </c>
      <c r="E232" s="206">
        <v>216089100</v>
      </c>
      <c r="F232" s="206">
        <v>10939438</v>
      </c>
      <c r="G232" s="206">
        <v>372750817</v>
      </c>
      <c r="H232" s="206">
        <v>98101538</v>
      </c>
      <c r="I232" s="206">
        <v>295413427</v>
      </c>
      <c r="J232" s="206">
        <v>47972680</v>
      </c>
      <c r="K232" s="207">
        <f t="shared" si="49"/>
        <v>1239548226</v>
      </c>
    </row>
    <row r="233" spans="1:11" s="246" customFormat="1" ht="23.25">
      <c r="A233" s="194" t="s">
        <v>30</v>
      </c>
      <c r="B233" s="206">
        <v>78198708</v>
      </c>
      <c r="C233" s="206">
        <v>36636781</v>
      </c>
      <c r="D233" s="206">
        <v>90593938</v>
      </c>
      <c r="E233" s="206">
        <v>222565327</v>
      </c>
      <c r="F233" s="206">
        <v>11896858</v>
      </c>
      <c r="G233" s="206">
        <v>386910661</v>
      </c>
      <c r="H233" s="206">
        <v>105208182</v>
      </c>
      <c r="I233" s="206">
        <v>299896885</v>
      </c>
      <c r="J233" s="206">
        <v>48542550</v>
      </c>
      <c r="K233" s="207">
        <f t="shared" si="49"/>
        <v>1280449890</v>
      </c>
    </row>
    <row r="234" spans="1:11" s="259" customFormat="1" ht="23.25">
      <c r="A234" s="194" t="s">
        <v>31</v>
      </c>
      <c r="B234" s="258">
        <v>77166089</v>
      </c>
      <c r="C234" s="258">
        <v>24463462</v>
      </c>
      <c r="D234" s="258">
        <v>88285517</v>
      </c>
      <c r="E234" s="258">
        <v>218940952</v>
      </c>
      <c r="F234" s="258">
        <v>13534004</v>
      </c>
      <c r="G234" s="258">
        <v>376160405</v>
      </c>
      <c r="H234" s="258">
        <v>109554774</v>
      </c>
      <c r="I234" s="258">
        <v>308213209</v>
      </c>
      <c r="J234" s="258">
        <v>50257335</v>
      </c>
      <c r="K234" s="207">
        <f t="shared" si="49"/>
        <v>1266575747</v>
      </c>
    </row>
    <row r="235" spans="1:11" ht="23.25">
      <c r="A235" s="194" t="s">
        <v>32</v>
      </c>
      <c r="B235" s="258">
        <v>79662474</v>
      </c>
      <c r="C235" s="258">
        <v>31369292</v>
      </c>
      <c r="D235" s="258">
        <v>92305320</v>
      </c>
      <c r="E235" s="258">
        <v>219868855</v>
      </c>
      <c r="F235" s="258">
        <v>14376617</v>
      </c>
      <c r="G235" s="258">
        <v>381569109</v>
      </c>
      <c r="H235" s="258">
        <v>105831825</v>
      </c>
      <c r="I235" s="258">
        <v>318907970</v>
      </c>
      <c r="J235" s="258">
        <v>49312846</v>
      </c>
      <c r="K235" s="207">
        <f>SUM(B235:J235)</f>
        <v>1293204308</v>
      </c>
    </row>
    <row r="236" spans="1:11" s="252" customFormat="1" ht="23.25">
      <c r="A236" s="194" t="s">
        <v>33</v>
      </c>
      <c r="B236" s="258">
        <v>78641347</v>
      </c>
      <c r="C236" s="258">
        <v>24900529</v>
      </c>
      <c r="D236" s="258">
        <v>92054551</v>
      </c>
      <c r="E236" s="258">
        <v>217718819</v>
      </c>
      <c r="F236" s="258">
        <v>12101223</v>
      </c>
      <c r="G236" s="258">
        <v>386611619</v>
      </c>
      <c r="H236" s="258">
        <v>110034182</v>
      </c>
      <c r="I236" s="258">
        <v>326095579</v>
      </c>
      <c r="J236" s="258">
        <v>52750931</v>
      </c>
      <c r="K236" s="207">
        <f>SUM(B236:J236)</f>
        <v>1300908780</v>
      </c>
    </row>
    <row r="237" spans="1:11" s="252" customFormat="1" ht="23.25">
      <c r="A237" s="194" t="s">
        <v>35</v>
      </c>
      <c r="B237" s="258">
        <v>78644967</v>
      </c>
      <c r="C237" s="258">
        <v>24901874</v>
      </c>
      <c r="D237" s="258">
        <v>91649903</v>
      </c>
      <c r="E237" s="258">
        <v>222761085</v>
      </c>
      <c r="F237" s="258">
        <v>11904996</v>
      </c>
      <c r="G237" s="258">
        <v>393869553</v>
      </c>
      <c r="H237" s="258">
        <v>105769290</v>
      </c>
      <c r="I237" s="258">
        <v>324028289</v>
      </c>
      <c r="J237" s="258">
        <v>52166176</v>
      </c>
      <c r="K237" s="207">
        <f>SUM(B237:J237)</f>
        <v>1305696133</v>
      </c>
    </row>
    <row r="238" spans="1:11" s="252" customFormat="1" ht="23.25">
      <c r="A238" s="194" t="s">
        <v>36</v>
      </c>
      <c r="B238" s="258">
        <v>75675346</v>
      </c>
      <c r="C238" s="258">
        <v>23212013</v>
      </c>
      <c r="D238" s="258">
        <v>92406473</v>
      </c>
      <c r="E238" s="258">
        <v>221779916</v>
      </c>
      <c r="F238" s="258">
        <v>11371000</v>
      </c>
      <c r="G238" s="258">
        <v>391783525</v>
      </c>
      <c r="H238" s="258">
        <v>107949241</v>
      </c>
      <c r="I238" s="258">
        <v>334307448</v>
      </c>
      <c r="J238" s="258">
        <v>54134615</v>
      </c>
      <c r="K238" s="207">
        <f>SUM(B238:J238)</f>
        <v>1312619577</v>
      </c>
    </row>
    <row r="239" spans="1:11" s="252" customFormat="1" ht="23.25">
      <c r="A239" s="194" t="s">
        <v>37</v>
      </c>
      <c r="B239" s="258">
        <v>70149279</v>
      </c>
      <c r="C239" s="258">
        <v>26248058</v>
      </c>
      <c r="D239" s="258">
        <v>87170516</v>
      </c>
      <c r="E239" s="258">
        <v>218332206</v>
      </c>
      <c r="F239" s="258">
        <v>11186181</v>
      </c>
      <c r="G239" s="258">
        <v>425029277</v>
      </c>
      <c r="H239" s="258">
        <v>94436843</v>
      </c>
      <c r="I239" s="258">
        <v>293602815</v>
      </c>
      <c r="J239" s="258">
        <v>54786858</v>
      </c>
      <c r="K239" s="207">
        <f>SUM(B239:J239)</f>
        <v>1280942033</v>
      </c>
    </row>
    <row r="240" spans="1:11" ht="23.25">
      <c r="A240" s="194"/>
      <c r="K240" s="207"/>
    </row>
    <row r="241" spans="1:11" s="246" customFormat="1" ht="23.25">
      <c r="A241" s="194">
        <v>2014</v>
      </c>
      <c r="B241" s="245"/>
      <c r="C241" s="245"/>
      <c r="D241" s="245"/>
      <c r="E241" s="245"/>
      <c r="F241" s="245"/>
      <c r="G241" s="245"/>
      <c r="H241" s="245"/>
      <c r="I241" s="245"/>
      <c r="J241" s="245"/>
      <c r="K241" s="244"/>
    </row>
    <row r="242" spans="1:11" s="246" customFormat="1" ht="23.25">
      <c r="A242" s="194" t="s">
        <v>27</v>
      </c>
      <c r="B242" s="206">
        <v>76219627</v>
      </c>
      <c r="C242" s="206">
        <v>29919981</v>
      </c>
      <c r="D242" s="206">
        <v>86908201.845353</v>
      </c>
      <c r="E242" s="206">
        <v>218972949.59901932</v>
      </c>
      <c r="F242" s="206">
        <v>20705684.47367</v>
      </c>
      <c r="G242" s="206">
        <f>246651934+81116735+26194075+37227477</f>
        <v>391190221</v>
      </c>
      <c r="H242" s="206">
        <v>114042392</v>
      </c>
      <c r="I242" s="206">
        <f>82673562+135515155+60303798</f>
        <v>278492515</v>
      </c>
      <c r="J242" s="206">
        <v>51103565.50494811</v>
      </c>
      <c r="K242" s="207">
        <f>SUM(B242:J242)</f>
        <v>1267555137.4229903</v>
      </c>
    </row>
    <row r="243" spans="1:11" ht="23.25">
      <c r="A243" s="194" t="s">
        <v>30</v>
      </c>
      <c r="B243" s="206">
        <v>85651658</v>
      </c>
      <c r="C243" s="206">
        <v>32279806</v>
      </c>
      <c r="D243" s="206">
        <v>86354991.845353</v>
      </c>
      <c r="E243" s="206">
        <v>216645153</v>
      </c>
      <c r="F243" s="206">
        <v>26623054.47367</v>
      </c>
      <c r="G243" s="206">
        <v>387433009.9</v>
      </c>
      <c r="H243" s="206">
        <v>135062421</v>
      </c>
      <c r="I243" s="206">
        <v>262853468.81028038</v>
      </c>
      <c r="J243" s="206">
        <v>55494051</v>
      </c>
      <c r="K243" s="207">
        <f>SUM(B243:J243)</f>
        <v>1288397614.0293033</v>
      </c>
    </row>
    <row r="244" spans="1:11" ht="23.25">
      <c r="A244" s="194" t="s">
        <v>33</v>
      </c>
      <c r="B244" s="206">
        <v>84119878</v>
      </c>
      <c r="C244" s="206">
        <v>34788193</v>
      </c>
      <c r="D244" s="206">
        <v>78355720</v>
      </c>
      <c r="E244" s="206">
        <v>244443428</v>
      </c>
      <c r="F244" s="206">
        <v>22700772</v>
      </c>
      <c r="G244" s="206">
        <v>454963816</v>
      </c>
      <c r="H244" s="206">
        <v>148184640</v>
      </c>
      <c r="I244" s="206">
        <v>209685196</v>
      </c>
      <c r="J244" s="206">
        <v>62016851</v>
      </c>
      <c r="K244" s="207">
        <f>SUM(B244:J244)</f>
        <v>1339258494</v>
      </c>
    </row>
    <row r="245" spans="1:11" ht="23.25">
      <c r="A245" s="194" t="s">
        <v>37</v>
      </c>
      <c r="B245" s="206">
        <v>85886941</v>
      </c>
      <c r="C245" s="206">
        <v>33335632</v>
      </c>
      <c r="D245" s="206">
        <v>59450242</v>
      </c>
      <c r="E245" s="206">
        <v>249138473</v>
      </c>
      <c r="F245" s="206">
        <v>22575991</v>
      </c>
      <c r="G245" s="206">
        <v>431796159</v>
      </c>
      <c r="H245" s="206">
        <v>149612133</v>
      </c>
      <c r="I245" s="206">
        <f>'[9]Sectoral Advances'!$AE$33+'[9]Sectoral Advances'!$AE$38+'[9]Sectoral Advances'!$AE$40</f>
        <v>253345571</v>
      </c>
      <c r="J245" s="206">
        <v>62663708</v>
      </c>
      <c r="K245" s="207">
        <f>SUM(B245:J245)</f>
        <v>1347804850</v>
      </c>
    </row>
    <row r="246" spans="1:11" ht="23.25">
      <c r="A246" s="194"/>
      <c r="K246" s="207"/>
    </row>
    <row r="247" spans="1:11" ht="23.25">
      <c r="A247" s="194">
        <v>2015</v>
      </c>
      <c r="K247" s="207"/>
    </row>
    <row r="248" spans="1:11" s="336" customFormat="1" ht="23.25">
      <c r="A248" s="334" t="s">
        <v>27</v>
      </c>
      <c r="B248" s="258">
        <v>85886941</v>
      </c>
      <c r="C248" s="258">
        <f>'[11]BSD 4A correct version'!$AE$13</f>
        <v>33335632</v>
      </c>
      <c r="D248" s="258">
        <f>'[11]BSD 4A correct version'!$AE$15</f>
        <v>59450242</v>
      </c>
      <c r="E248" s="258">
        <f>'[11]BSD 4A correct version'!$AE$17</f>
        <v>249138473</v>
      </c>
      <c r="F248" s="258">
        <f>'[11]BSD 4A correct version'!$AE$20</f>
        <v>22575991</v>
      </c>
      <c r="G248" s="258">
        <f>'[11]BSD 4A correct version'!$AE$22+'[11]BSD 4A correct version'!$AE$24+'[11]BSD 4A correct version'!$AE$26+'[11]BSD 4A correct version'!$AE$28</f>
        <v>431796159</v>
      </c>
      <c r="H248" s="258">
        <f>'[11]BSD 4A correct version'!$AE$31</f>
        <v>149612133</v>
      </c>
      <c r="I248" s="258">
        <f>'[11]BSD 4A correct version'!$AE$33+'[11]BSD 4A correct version'!$AE$38+'[11]BSD 4A correct version'!$AE$40</f>
        <v>253345571</v>
      </c>
      <c r="J248" s="258">
        <f>'[11]BSD 4A correct version'!$AE$42</f>
        <v>62663708</v>
      </c>
      <c r="K248" s="335">
        <f>SUM(B248:J248)</f>
        <v>1347804850</v>
      </c>
    </row>
    <row r="249" spans="1:11" s="337" customFormat="1" ht="23.25">
      <c r="A249" s="334" t="s">
        <v>30</v>
      </c>
      <c r="B249" s="258">
        <f>'[12]BSD 4 Jun15'!$AF$11</f>
        <v>84096641</v>
      </c>
      <c r="C249" s="258">
        <f>'[12]BSD 4 Jun15'!$AF$13</f>
        <v>28027531</v>
      </c>
      <c r="D249" s="258">
        <f>'[12]BSD 4 Jun15'!$AF$15</f>
        <v>54800370</v>
      </c>
      <c r="E249" s="258">
        <f>'[12]BSD 4 Jun15'!$AF$17</f>
        <v>263520327</v>
      </c>
      <c r="F249" s="258">
        <f>'[12]BSD 4 Jun15'!$AF$20</f>
        <v>23860593</v>
      </c>
      <c r="G249" s="258">
        <f>'[12]BSD 4 Jun15'!$AF$22+'[12]BSD 4 Jun15'!$AF$24+'[12]BSD 4 Jun15'!$AF$26+'[12]BSD 4 Jun15'!$AF$28</f>
        <v>463377314</v>
      </c>
      <c r="H249" s="258">
        <f>'[12]BSD 4 Jun15'!$AF$31</f>
        <v>143353359</v>
      </c>
      <c r="I249" s="258">
        <f>'[12]BSD 4 Jun15'!$AF$33+'[12]BSD 4 Jun15'!$AF$38+'[12]BSD 4 Jun15'!$AF$40</f>
        <v>189032192</v>
      </c>
      <c r="J249" s="258">
        <f>'[12]BSD 4 Jun15'!$AF$42</f>
        <v>62735700</v>
      </c>
      <c r="K249" s="335">
        <f>SUM(B249:J249)</f>
        <v>1312804027</v>
      </c>
    </row>
    <row r="250" spans="1:11" s="337" customFormat="1" ht="23.25">
      <c r="A250" s="334" t="s">
        <v>33</v>
      </c>
      <c r="B250" s="258">
        <f>'[13]BSD 4SEPT15'!$AF$11</f>
        <v>82678785</v>
      </c>
      <c r="C250" s="258">
        <f>'[13]BSD 4SEPT15'!$AF$13</f>
        <v>27294633</v>
      </c>
      <c r="D250" s="258">
        <f>'[13]BSD 4SEPT15'!$AF$15</f>
        <v>53146695</v>
      </c>
      <c r="E250" s="258">
        <f>'[13]BSD 4SEPT15'!$AF$17</f>
        <v>272191512</v>
      </c>
      <c r="F250" s="258">
        <f>'[13]BSD 4SEPT15'!$AF$20</f>
        <v>24516536</v>
      </c>
      <c r="G250" s="258">
        <f>'[13]BSD 4SEPT15'!$AF$22+'[13]BSD 4SEPT15'!$AF$24+'[13]BSD 4SEPT15'!$AF$26+'[13]BSD 4SEPT15'!$AF$28</f>
        <v>481506447</v>
      </c>
      <c r="H250" s="258">
        <f>'[13]BSD 4SEPT15'!$AF$31</f>
        <v>147920570</v>
      </c>
      <c r="I250" s="258">
        <f>'[13]BSD 4SEPT15'!$AF$33+'[13]BSD 4SEPT15'!$AF$38+'[13]BSD 4SEPT15'!$AF$40</f>
        <v>211995340</v>
      </c>
      <c r="J250" s="258">
        <f>'[13]BSD 4SEPT15'!$AF$42</f>
        <v>63306990</v>
      </c>
      <c r="K250" s="335">
        <f>SUM(B250:J250)</f>
        <v>1364557508</v>
      </c>
    </row>
    <row r="251" spans="1:11" s="333" customFormat="1" ht="23.25">
      <c r="A251" s="330" t="s">
        <v>37</v>
      </c>
      <c r="B251" s="331">
        <v>83131.308</v>
      </c>
      <c r="C251" s="258">
        <v>28480257</v>
      </c>
      <c r="D251" s="258">
        <v>53902708</v>
      </c>
      <c r="E251" s="258">
        <v>260826706</v>
      </c>
      <c r="F251" s="258">
        <v>18806954</v>
      </c>
      <c r="G251" s="341">
        <v>482315768</v>
      </c>
      <c r="H251" s="258">
        <v>127029450</v>
      </c>
      <c r="I251" s="258">
        <v>217586849</v>
      </c>
      <c r="J251" s="258">
        <v>69869964</v>
      </c>
      <c r="K251" s="335">
        <f>SUM(B251:J251)</f>
        <v>1258901787.308</v>
      </c>
    </row>
    <row r="252" spans="1:11" ht="23.25">
      <c r="A252" s="194"/>
      <c r="K252" s="332"/>
    </row>
    <row r="253" spans="1:11" ht="23.25">
      <c r="A253" s="194">
        <v>2016</v>
      </c>
      <c r="K253" s="332"/>
    </row>
    <row r="254" spans="1:11" ht="23.25">
      <c r="A254" s="194" t="s">
        <v>27</v>
      </c>
      <c r="B254" s="340">
        <v>84640383</v>
      </c>
      <c r="C254" s="340">
        <v>29250508</v>
      </c>
      <c r="D254" s="340">
        <v>63635111</v>
      </c>
      <c r="E254" s="340">
        <v>280436691</v>
      </c>
      <c r="F254" s="340">
        <v>19921687</v>
      </c>
      <c r="G254" s="340">
        <v>505444505</v>
      </c>
      <c r="H254" s="343">
        <v>132140133</v>
      </c>
      <c r="I254" s="340">
        <v>231444206</v>
      </c>
      <c r="J254" s="340">
        <v>74866011</v>
      </c>
      <c r="K254" s="335">
        <f>SUM(B254:J254)</f>
        <v>1421779235</v>
      </c>
    </row>
    <row r="255" spans="1:11" ht="23.25">
      <c r="A255" s="194" t="s">
        <v>30</v>
      </c>
      <c r="B255" s="197">
        <v>89681755</v>
      </c>
      <c r="C255" s="340">
        <v>25877661</v>
      </c>
      <c r="D255" s="340">
        <v>78929583</v>
      </c>
      <c r="E255" s="340">
        <v>292524294</v>
      </c>
      <c r="F255" s="340">
        <v>25964576</v>
      </c>
      <c r="G255" s="340">
        <f>274430959+48319172+98725831+156663151</f>
        <v>578139113</v>
      </c>
      <c r="H255" s="340">
        <v>99376535</v>
      </c>
      <c r="I255" s="340">
        <f>64014487+24799100+17759002+21456385+83159369+61260457</f>
        <v>272448800</v>
      </c>
      <c r="J255" s="340">
        <v>89581383</v>
      </c>
      <c r="K255" s="207">
        <v>1488509213</v>
      </c>
    </row>
    <row r="256" spans="1:11" ht="23.25">
      <c r="A256" s="194" t="s">
        <v>33</v>
      </c>
      <c r="B256" s="340"/>
      <c r="C256" s="340"/>
      <c r="D256" s="340"/>
      <c r="E256" s="340"/>
      <c r="F256" s="340"/>
      <c r="G256" s="340"/>
      <c r="H256" s="343"/>
      <c r="I256" s="340"/>
      <c r="J256" s="340"/>
      <c r="K256" s="335">
        <f>SUM(B256:J256)</f>
        <v>0</v>
      </c>
    </row>
    <row r="257" spans="1:11" ht="23.25">
      <c r="A257" s="194"/>
      <c r="K257" s="207"/>
    </row>
    <row r="258" spans="1:11" ht="23.25">
      <c r="A258" s="194"/>
      <c r="I258" s="342"/>
      <c r="K258" s="207"/>
    </row>
    <row r="259" spans="1:11" ht="23.25">
      <c r="A259" s="194"/>
      <c r="K259" s="207"/>
    </row>
    <row r="260" spans="1:11" ht="23.25">
      <c r="A260" s="194"/>
      <c r="K260" s="207"/>
    </row>
    <row r="261" spans="1:11" ht="23.25">
      <c r="A261" s="216" t="s">
        <v>215</v>
      </c>
      <c r="B261" s="195"/>
      <c r="C261" s="195"/>
      <c r="D261" s="195"/>
      <c r="E261" s="195"/>
      <c r="F261" s="195"/>
      <c r="G261" s="195"/>
      <c r="H261" s="338"/>
      <c r="I261" s="195"/>
      <c r="J261" s="195"/>
      <c r="K261" s="207"/>
    </row>
    <row r="262" spans="1:10" ht="23.25">
      <c r="A262" s="215" t="s">
        <v>216</v>
      </c>
      <c r="J262" s="214"/>
    </row>
    <row r="263" spans="1:10" ht="23.25">
      <c r="A263" s="217">
        <f ca="1">NOW()</f>
        <v>42719.59244571759</v>
      </c>
      <c r="J263" s="214"/>
    </row>
    <row r="266" ht="23.25">
      <c r="H266" s="218"/>
    </row>
    <row r="270" ht="23.25">
      <c r="E270" s="218"/>
    </row>
  </sheetData>
  <sheetProtection/>
  <mergeCells count="4">
    <mergeCell ref="A1:K1"/>
    <mergeCell ref="L1:V1"/>
    <mergeCell ref="A3:K3"/>
    <mergeCell ref="L2:U2"/>
  </mergeCells>
  <printOptions horizontalCentered="1"/>
  <pageMargins left="0.393700787401575" right="0" top="0.590551181102362" bottom="0.393700787401575" header="0.511811023622047" footer="0.511811023622047"/>
  <pageSetup fitToHeight="1" fitToWidth="1" horizontalDpi="600" verticalDpi="600" orientation="landscape" scale="37" r:id="rId3"/>
  <headerFooter alignWithMargins="0">
    <oddFooter>&amp;L&amp;D&amp;C&amp;F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2"/>
  <sheetViews>
    <sheetView view="pageBreakPreview" zoomScale="60" zoomScaleNormal="90" zoomScalePageLayoutView="0" workbookViewId="0" topLeftCell="A1">
      <pane ySplit="5" topLeftCell="A321" activePane="bottomLeft" state="frozen"/>
      <selection pane="topLeft" activeCell="G119" sqref="G119"/>
      <selection pane="bottomLeft" activeCell="I337" sqref="I337"/>
    </sheetView>
  </sheetViews>
  <sheetFormatPr defaultColWidth="9.33203125" defaultRowHeight="15" customHeight="1"/>
  <cols>
    <col min="1" max="1" width="19.33203125" style="3" customWidth="1"/>
    <col min="2" max="2" width="17.16015625" style="4" customWidth="1"/>
    <col min="3" max="5" width="26.5" style="9" customWidth="1"/>
    <col min="6" max="6" width="25.5" style="9" customWidth="1"/>
    <col min="7" max="7" width="20" style="9" customWidth="1"/>
    <col min="8" max="13" width="15.83203125" style="9" customWidth="1"/>
    <col min="14" max="14" width="15.83203125" style="10" customWidth="1"/>
    <col min="15" max="15" width="15.83203125" style="9" customWidth="1"/>
    <col min="16" max="16384" width="9.33203125" style="9" customWidth="1"/>
  </cols>
  <sheetData>
    <row r="1" spans="1:14" ht="21" thickBot="1">
      <c r="A1" s="365" t="s">
        <v>172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7"/>
    </row>
    <row r="2" spans="1:15" ht="15" customHeight="1" thickBot="1">
      <c r="A2" s="73"/>
      <c r="B2" s="324"/>
      <c r="C2" s="368" t="s">
        <v>141</v>
      </c>
      <c r="D2" s="368"/>
      <c r="E2" s="368"/>
      <c r="F2" s="369"/>
      <c r="G2" s="13" t="s">
        <v>115</v>
      </c>
      <c r="H2" s="14"/>
      <c r="I2" s="14"/>
      <c r="J2" s="14"/>
      <c r="K2" s="14"/>
      <c r="L2" s="14"/>
      <c r="M2" s="59"/>
      <c r="N2" s="58"/>
      <c r="O2" s="27"/>
    </row>
    <row r="3" spans="1:15" ht="15" customHeight="1" thickBot="1">
      <c r="A3" s="20"/>
      <c r="B3" s="22" t="s">
        <v>260</v>
      </c>
      <c r="C3" s="22" t="s">
        <v>142</v>
      </c>
      <c r="D3" s="22" t="s">
        <v>159</v>
      </c>
      <c r="E3" s="22" t="s">
        <v>159</v>
      </c>
      <c r="F3" s="370" t="s">
        <v>143</v>
      </c>
      <c r="G3" s="19" t="s">
        <v>68</v>
      </c>
      <c r="H3" s="31" t="s">
        <v>116</v>
      </c>
      <c r="I3" s="30"/>
      <c r="J3" s="30"/>
      <c r="K3" s="30"/>
      <c r="L3" s="32"/>
      <c r="M3" s="22" t="s">
        <v>69</v>
      </c>
      <c r="N3" s="20"/>
      <c r="O3" s="27"/>
    </row>
    <row r="4" spans="1:15" ht="15" customHeight="1">
      <c r="A4" s="20"/>
      <c r="B4" s="22" t="s">
        <v>261</v>
      </c>
      <c r="C4" s="22" t="s">
        <v>170</v>
      </c>
      <c r="D4" s="22" t="s">
        <v>165</v>
      </c>
      <c r="E4" s="22" t="s">
        <v>164</v>
      </c>
      <c r="F4" s="371"/>
      <c r="G4" s="19" t="s">
        <v>70</v>
      </c>
      <c r="H4" s="33"/>
      <c r="I4" s="33"/>
      <c r="J4" s="33"/>
      <c r="K4" s="33"/>
      <c r="L4" s="33"/>
      <c r="M4" s="22" t="s">
        <v>71</v>
      </c>
      <c r="N4" s="20" t="s">
        <v>2</v>
      </c>
      <c r="O4" s="27"/>
    </row>
    <row r="5" spans="1:15" ht="15" customHeight="1" thickBot="1">
      <c r="A5" s="25" t="s">
        <v>72</v>
      </c>
      <c r="B5" s="23" t="s">
        <v>79</v>
      </c>
      <c r="C5" s="23" t="s">
        <v>73</v>
      </c>
      <c r="D5" s="23" t="s">
        <v>163</v>
      </c>
      <c r="E5" s="23" t="s">
        <v>163</v>
      </c>
      <c r="F5" s="372"/>
      <c r="G5" s="24"/>
      <c r="H5" s="34" t="s">
        <v>74</v>
      </c>
      <c r="I5" s="34" t="s">
        <v>75</v>
      </c>
      <c r="J5" s="34" t="s">
        <v>76</v>
      </c>
      <c r="K5" s="34" t="s">
        <v>77</v>
      </c>
      <c r="L5" s="34" t="s">
        <v>78</v>
      </c>
      <c r="M5" s="23" t="s">
        <v>79</v>
      </c>
      <c r="N5" s="25" t="s">
        <v>12</v>
      </c>
      <c r="O5" s="27"/>
    </row>
    <row r="6" spans="1:15" ht="15" customHeight="1">
      <c r="A6" s="20"/>
      <c r="B6" s="22"/>
      <c r="C6" s="22"/>
      <c r="D6" s="22"/>
      <c r="E6" s="22"/>
      <c r="F6" s="22"/>
      <c r="G6" s="22"/>
      <c r="H6" s="28"/>
      <c r="I6" s="28"/>
      <c r="J6" s="28"/>
      <c r="K6" s="28"/>
      <c r="L6" s="28"/>
      <c r="M6" s="22"/>
      <c r="N6" s="20"/>
      <c r="O6" s="27"/>
    </row>
    <row r="7" spans="1:15" ht="15" customHeight="1" hidden="1">
      <c r="A7" s="20">
        <v>1995</v>
      </c>
      <c r="B7" s="22"/>
      <c r="C7" s="35">
        <v>14.2</v>
      </c>
      <c r="D7" s="35"/>
      <c r="E7" s="35"/>
      <c r="F7" s="35">
        <v>17.02</v>
      </c>
      <c r="G7" s="35">
        <v>5.33</v>
      </c>
      <c r="H7" s="35">
        <v>6.1</v>
      </c>
      <c r="I7" s="35">
        <v>7</v>
      </c>
      <c r="J7" s="35">
        <v>7.85</v>
      </c>
      <c r="K7" s="35" t="s">
        <v>80</v>
      </c>
      <c r="L7" s="35">
        <v>8.88</v>
      </c>
      <c r="M7" s="35" t="s">
        <v>81</v>
      </c>
      <c r="N7" s="20">
        <v>1995</v>
      </c>
      <c r="O7" s="27"/>
    </row>
    <row r="8" spans="1:15" ht="15" customHeight="1" hidden="1">
      <c r="A8" s="20">
        <v>1996</v>
      </c>
      <c r="B8" s="22"/>
      <c r="C8" s="35">
        <v>29.25</v>
      </c>
      <c r="D8" s="35"/>
      <c r="E8" s="35"/>
      <c r="F8" s="35">
        <v>32.08</v>
      </c>
      <c r="G8" s="35">
        <v>9.03</v>
      </c>
      <c r="H8" s="35">
        <v>10.83</v>
      </c>
      <c r="I8" s="35">
        <v>13.96</v>
      </c>
      <c r="J8" s="35">
        <v>15.05</v>
      </c>
      <c r="K8" s="35">
        <v>16.38</v>
      </c>
      <c r="L8" s="35">
        <v>18.81</v>
      </c>
      <c r="M8" s="35" t="s">
        <v>82</v>
      </c>
      <c r="N8" s="20">
        <v>1996</v>
      </c>
      <c r="O8" s="27"/>
    </row>
    <row r="9" spans="1:15" ht="15" customHeight="1" hidden="1">
      <c r="A9" s="20">
        <v>1997</v>
      </c>
      <c r="B9" s="22"/>
      <c r="C9" s="35">
        <f>AVERAGE(C28,C29,C30,C31)</f>
        <v>12.709999999999999</v>
      </c>
      <c r="D9" s="35"/>
      <c r="E9" s="35"/>
      <c r="F9" s="35">
        <f>AVERAGE(F28,F29,F30,F31)</f>
        <v>22.75</v>
      </c>
      <c r="G9" s="35">
        <f aca="true" t="shared" si="0" ref="G9:L9">AVERAGE(G28,G29,G30,G31)</f>
        <v>6.085</v>
      </c>
      <c r="H9" s="35">
        <f t="shared" si="0"/>
        <v>8.610000000000001</v>
      </c>
      <c r="I9" s="35">
        <f t="shared" si="0"/>
        <v>9.905000000000001</v>
      </c>
      <c r="J9" s="35">
        <f t="shared" si="0"/>
        <v>11.102500000000001</v>
      </c>
      <c r="K9" s="35">
        <f t="shared" si="0"/>
        <v>12.07</v>
      </c>
      <c r="L9" s="35">
        <f t="shared" si="0"/>
        <v>14.307500000000001</v>
      </c>
      <c r="M9" s="35" t="s">
        <v>83</v>
      </c>
      <c r="N9" s="20">
        <v>1997</v>
      </c>
      <c r="O9" s="27"/>
    </row>
    <row r="10" spans="1:15" ht="15" customHeight="1" hidden="1">
      <c r="A10" s="20">
        <v>1998</v>
      </c>
      <c r="B10" s="22"/>
      <c r="C10" s="36">
        <f>AVERAGE(C37,C41,C45,C49)</f>
        <v>22.10333333333333</v>
      </c>
      <c r="D10" s="36"/>
      <c r="E10" s="36"/>
      <c r="F10" s="36">
        <f aca="true" t="shared" si="1" ref="F10:L10">AVERAGE(F37,F41,F45,F49)</f>
        <v>32.33333333333333</v>
      </c>
      <c r="G10" s="36">
        <f t="shared" si="1"/>
        <v>4.951666666666666</v>
      </c>
      <c r="H10" s="36">
        <f>AVERAGE(H37,H41,H45,H49)</f>
        <v>5.797499999999999</v>
      </c>
      <c r="I10" s="36">
        <f t="shared" si="1"/>
        <v>7.120833333333334</v>
      </c>
      <c r="J10" s="36">
        <f t="shared" si="1"/>
        <v>8.230833333333335</v>
      </c>
      <c r="K10" s="36">
        <f>AVERAGE(K37,K41,K45,K49)</f>
        <v>8.950833333333332</v>
      </c>
      <c r="L10" s="36">
        <f t="shared" si="1"/>
        <v>10.306666666666667</v>
      </c>
      <c r="M10" s="35" t="s">
        <v>84</v>
      </c>
      <c r="N10" s="20">
        <v>1998</v>
      </c>
      <c r="O10" s="27"/>
    </row>
    <row r="11" spans="1:15" ht="15" customHeight="1" hidden="1">
      <c r="A11" s="20">
        <v>1999</v>
      </c>
      <c r="B11" s="22"/>
      <c r="C11" s="35">
        <f>AVERAGE(C55,C59,C63,C67)</f>
        <v>32.9075</v>
      </c>
      <c r="D11" s="35"/>
      <c r="E11" s="35"/>
      <c r="F11" s="35">
        <f>AVERAGE(F55,F59,F63,F67)</f>
        <v>39.666666666666664</v>
      </c>
      <c r="G11" s="35">
        <f aca="true" t="shared" si="2" ref="G11:L11">AVERAGE(G55,G59,G63,G67)</f>
        <v>7.450833333333334</v>
      </c>
      <c r="H11" s="35">
        <f t="shared" si="2"/>
        <v>8.4275</v>
      </c>
      <c r="I11" s="35">
        <f t="shared" si="2"/>
        <v>9.565833333333332</v>
      </c>
      <c r="J11" s="35">
        <f t="shared" si="2"/>
        <v>10.905833333333334</v>
      </c>
      <c r="K11" s="35">
        <f t="shared" si="2"/>
        <v>12.264166666666668</v>
      </c>
      <c r="L11" s="35">
        <f t="shared" si="2"/>
        <v>12.585833333333332</v>
      </c>
      <c r="M11" s="35" t="s">
        <v>93</v>
      </c>
      <c r="N11" s="20">
        <v>1999</v>
      </c>
      <c r="O11" s="27"/>
    </row>
    <row r="12" spans="1:15" ht="15" customHeight="1" hidden="1">
      <c r="A12" s="20">
        <v>2000</v>
      </c>
      <c r="B12" s="22"/>
      <c r="C12" s="37">
        <f>AVERAGE(C73,C77,C81,C85)</f>
        <v>26.221666666666664</v>
      </c>
      <c r="D12" s="37"/>
      <c r="E12" s="37"/>
      <c r="F12" s="37">
        <f aca="true" t="shared" si="3" ref="F12:L12">AVERAGE(F73,F77,F81,F85)</f>
        <v>28.958333333333336</v>
      </c>
      <c r="G12" s="37">
        <f t="shared" si="3"/>
        <v>6.194166666666667</v>
      </c>
      <c r="H12" s="37">
        <f t="shared" si="3"/>
        <v>8.234166666666667</v>
      </c>
      <c r="I12" s="37">
        <f t="shared" si="3"/>
        <v>9.244166666666668</v>
      </c>
      <c r="J12" s="37">
        <f t="shared" si="3"/>
        <v>10.448333333333334</v>
      </c>
      <c r="K12" s="37">
        <f t="shared" si="3"/>
        <v>11.590833333333334</v>
      </c>
      <c r="L12" s="37">
        <f t="shared" si="3"/>
        <v>12.0125</v>
      </c>
      <c r="M12" s="37" t="s">
        <v>125</v>
      </c>
      <c r="N12" s="20">
        <v>2000</v>
      </c>
      <c r="O12" s="27"/>
    </row>
    <row r="13" spans="1:15" ht="15" customHeight="1" hidden="1">
      <c r="A13" s="20">
        <v>2001</v>
      </c>
      <c r="B13" s="22"/>
      <c r="C13" s="37">
        <f>AVERAGE(C92,C96,C100,C104)</f>
        <v>13.758333333333333</v>
      </c>
      <c r="D13" s="37"/>
      <c r="E13" s="37"/>
      <c r="F13" s="37">
        <f aca="true" t="shared" si="4" ref="F13:L13">AVERAGE(F92,F96,F100,F104)</f>
        <v>17.916666666666668</v>
      </c>
      <c r="G13" s="37">
        <f t="shared" si="4"/>
        <v>4.823333333333334</v>
      </c>
      <c r="H13" s="37">
        <f t="shared" si="4"/>
        <v>7.076666666666667</v>
      </c>
      <c r="I13" s="37">
        <f t="shared" si="4"/>
        <v>7.673333333333334</v>
      </c>
      <c r="J13" s="37">
        <f t="shared" si="4"/>
        <v>8.650833333333333</v>
      </c>
      <c r="K13" s="37">
        <f t="shared" si="4"/>
        <v>8.680833333333334</v>
      </c>
      <c r="L13" s="37">
        <f t="shared" si="4"/>
        <v>10.138333333333334</v>
      </c>
      <c r="M13" s="37" t="s">
        <v>133</v>
      </c>
      <c r="N13" s="20">
        <v>2001</v>
      </c>
      <c r="O13" s="27"/>
    </row>
    <row r="14" spans="1:15" ht="15" customHeight="1" hidden="1">
      <c r="A14" s="20">
        <v>2002</v>
      </c>
      <c r="B14" s="22"/>
      <c r="C14" s="37">
        <f>AVERAGE(C110,C114,C118,C122)</f>
        <v>15.151666666666666</v>
      </c>
      <c r="D14" s="37"/>
      <c r="E14" s="37"/>
      <c r="F14" s="37">
        <f aca="true" t="shared" si="5" ref="F14:L14">AVERAGE(F110,F114,F118,F122)</f>
        <v>18.916666666666668</v>
      </c>
      <c r="G14" s="37">
        <f t="shared" si="5"/>
        <v>5.246666666666666</v>
      </c>
      <c r="H14" s="37">
        <f t="shared" si="5"/>
        <v>7.389166666666667</v>
      </c>
      <c r="I14" s="37">
        <f t="shared" si="5"/>
        <v>8.211666666666666</v>
      </c>
      <c r="J14" s="37">
        <f t="shared" si="5"/>
        <v>9.364166666666666</v>
      </c>
      <c r="K14" s="37">
        <f t="shared" si="5"/>
        <v>9.5</v>
      </c>
      <c r="L14" s="37">
        <f t="shared" si="5"/>
        <v>11.259166666666667</v>
      </c>
      <c r="M14" s="37" t="s">
        <v>139</v>
      </c>
      <c r="N14" s="20">
        <v>2002</v>
      </c>
      <c r="O14" s="27"/>
    </row>
    <row r="15" spans="1:15" ht="15" customHeight="1">
      <c r="A15" s="20">
        <v>2003</v>
      </c>
      <c r="B15" s="22"/>
      <c r="C15" s="37">
        <f>AVERAGE(C128,C132,C136,C140)</f>
        <v>10.718333333333334</v>
      </c>
      <c r="D15" s="37"/>
      <c r="E15" s="37"/>
      <c r="F15" s="37">
        <f aca="true" t="shared" si="6" ref="F15:L15">AVERAGE(F128,F132,F136,F140)</f>
        <v>16</v>
      </c>
      <c r="G15" s="37">
        <f t="shared" si="6"/>
        <v>5.5</v>
      </c>
      <c r="H15" s="37">
        <f t="shared" si="6"/>
        <v>7.5</v>
      </c>
      <c r="I15" s="37">
        <f t="shared" si="6"/>
        <v>8.42</v>
      </c>
      <c r="J15" s="37">
        <f>AVERAGE(J128,J132,J136,J140)</f>
        <v>9.67</v>
      </c>
      <c r="K15" s="37">
        <f t="shared" si="6"/>
        <v>9.5</v>
      </c>
      <c r="L15" s="37">
        <f t="shared" si="6"/>
        <v>11.5</v>
      </c>
      <c r="M15" s="37" t="s">
        <v>140</v>
      </c>
      <c r="N15" s="20">
        <v>2003</v>
      </c>
      <c r="O15" s="27"/>
    </row>
    <row r="16" spans="1:15" ht="15" customHeight="1">
      <c r="A16" s="20">
        <v>2004</v>
      </c>
      <c r="B16" s="22"/>
      <c r="C16" s="37">
        <f>AVERAGE(C146,C150,C154,C158)</f>
        <v>16.6915625</v>
      </c>
      <c r="D16" s="37"/>
      <c r="E16" s="37"/>
      <c r="F16" s="37">
        <f aca="true" t="shared" si="7" ref="F16:L16">AVERAGE(F146,F150,F154,F158)</f>
        <v>23.291666666666668</v>
      </c>
      <c r="G16" s="37">
        <f t="shared" si="7"/>
        <v>7.295833333333334</v>
      </c>
      <c r="H16" s="37">
        <f t="shared" si="7"/>
        <v>8.25</v>
      </c>
      <c r="I16" s="37">
        <f t="shared" si="7"/>
        <v>10.135</v>
      </c>
      <c r="J16" s="37">
        <f t="shared" si="7"/>
        <v>11.166666666666666</v>
      </c>
      <c r="K16" s="37">
        <f t="shared" si="7"/>
        <v>11.919166666666667</v>
      </c>
      <c r="L16" s="37">
        <f t="shared" si="7"/>
        <v>12.995000000000003</v>
      </c>
      <c r="M16" s="37" t="s">
        <v>147</v>
      </c>
      <c r="N16" s="20">
        <v>2004</v>
      </c>
      <c r="O16" s="27"/>
    </row>
    <row r="17" spans="1:15" ht="15" customHeight="1">
      <c r="A17" s="20">
        <v>2005</v>
      </c>
      <c r="B17" s="22"/>
      <c r="C17" s="37">
        <f>AVERAGE(C164,C168,C172,C176)</f>
        <v>22.9775</v>
      </c>
      <c r="D17" s="37"/>
      <c r="E17" s="37"/>
      <c r="F17" s="37">
        <f aca="true" t="shared" si="8" ref="F17:L17">AVERAGE(F164,F168,F172,F176)</f>
        <v>19.407500000000002</v>
      </c>
      <c r="G17" s="37">
        <f t="shared" si="8"/>
        <v>8.2775</v>
      </c>
      <c r="H17" s="37">
        <f t="shared" si="8"/>
        <v>10.073333333333334</v>
      </c>
      <c r="I17" s="37">
        <f t="shared" si="8"/>
        <v>11.065</v>
      </c>
      <c r="J17" s="37">
        <f t="shared" si="8"/>
        <v>11.7975</v>
      </c>
      <c r="K17" s="37">
        <f t="shared" si="8"/>
        <v>12.348333333333331</v>
      </c>
      <c r="L17" s="37">
        <f t="shared" si="8"/>
        <v>13.543333333333333</v>
      </c>
      <c r="M17" s="35" t="s">
        <v>150</v>
      </c>
      <c r="N17" s="20">
        <v>2005</v>
      </c>
      <c r="O17" s="27"/>
    </row>
    <row r="18" spans="1:15" ht="15" customHeight="1">
      <c r="A18" s="20">
        <v>2006</v>
      </c>
      <c r="B18" s="22"/>
      <c r="C18" s="37">
        <f>AVERAGE(C183,C187,C191,C195)</f>
        <v>17.710833333333333</v>
      </c>
      <c r="D18" s="37"/>
      <c r="E18" s="37"/>
      <c r="F18" s="37">
        <f aca="true" t="shared" si="9" ref="F18:L18">AVERAGE(F183,F187,F191,F195)</f>
        <v>16.166666666666668</v>
      </c>
      <c r="G18" s="37">
        <f t="shared" si="9"/>
        <v>7.63</v>
      </c>
      <c r="H18" s="37">
        <f t="shared" si="9"/>
        <v>10.38</v>
      </c>
      <c r="I18" s="37">
        <f t="shared" si="9"/>
        <v>10.43</v>
      </c>
      <c r="J18" s="37">
        <f t="shared" si="9"/>
        <v>11.14</v>
      </c>
      <c r="K18" s="37">
        <f t="shared" si="9"/>
        <v>11.4</v>
      </c>
      <c r="L18" s="37">
        <f t="shared" si="9"/>
        <v>12.83</v>
      </c>
      <c r="M18" s="35" t="s">
        <v>150</v>
      </c>
      <c r="N18" s="20">
        <v>2006</v>
      </c>
      <c r="O18" s="27"/>
    </row>
    <row r="19" spans="1:15" ht="15" customHeight="1">
      <c r="A19" s="20">
        <v>2007</v>
      </c>
      <c r="B19" s="22"/>
      <c r="C19" s="37">
        <f>AVERAGE(C202,C206,C210,C214)</f>
        <v>18.4075</v>
      </c>
      <c r="D19" s="37"/>
      <c r="E19" s="37"/>
      <c r="F19" s="37">
        <f aca="true" t="shared" si="10" ref="F19:L19">AVERAGE(F202,F206,F210,F214)</f>
        <v>16.583333333333332</v>
      </c>
      <c r="G19" s="37">
        <f t="shared" si="10"/>
        <v>7.571666666666667</v>
      </c>
      <c r="H19" s="37">
        <f t="shared" si="10"/>
        <v>9.912500000000001</v>
      </c>
      <c r="I19" s="37">
        <f t="shared" si="10"/>
        <v>10.029166666666667</v>
      </c>
      <c r="J19" s="37">
        <f t="shared" si="10"/>
        <v>10.787500000000001</v>
      </c>
      <c r="K19" s="37">
        <f t="shared" si="10"/>
        <v>10.666666666666666</v>
      </c>
      <c r="L19" s="37">
        <f t="shared" si="10"/>
        <v>12.25</v>
      </c>
      <c r="M19" s="35" t="s">
        <v>150</v>
      </c>
      <c r="N19" s="20">
        <v>2007</v>
      </c>
      <c r="O19" s="27"/>
    </row>
    <row r="20" spans="1:15" ht="15" customHeight="1">
      <c r="A20" s="20">
        <v>2008</v>
      </c>
      <c r="B20" s="22"/>
      <c r="C20" s="37">
        <f aca="true" t="shared" si="11" ref="C20:L20">AVERAGE(C221,C225,C229,C233)</f>
        <v>15.480833333333333</v>
      </c>
      <c r="D20" s="37">
        <f>AVERAGE(D229,D233)</f>
        <v>14.335</v>
      </c>
      <c r="E20" s="37">
        <f t="shared" si="11"/>
        <v>13.048333333333334</v>
      </c>
      <c r="F20" s="37">
        <f t="shared" si="11"/>
        <v>16</v>
      </c>
      <c r="G20" s="37">
        <f t="shared" si="11"/>
        <v>6.949166666666667</v>
      </c>
      <c r="H20" s="37">
        <f t="shared" si="11"/>
        <v>9.181666666666667</v>
      </c>
      <c r="I20" s="37">
        <f t="shared" si="11"/>
        <v>9.716666666666667</v>
      </c>
      <c r="J20" s="37">
        <f t="shared" si="11"/>
        <v>10.5925</v>
      </c>
      <c r="K20" s="37">
        <f t="shared" si="11"/>
        <v>10.275</v>
      </c>
      <c r="L20" s="37">
        <f t="shared" si="11"/>
        <v>12.0175</v>
      </c>
      <c r="M20" s="37" t="s">
        <v>150</v>
      </c>
      <c r="N20" s="20">
        <v>2008</v>
      </c>
      <c r="O20" s="27"/>
    </row>
    <row r="21" spans="1:14" ht="15" customHeight="1">
      <c r="A21" s="20">
        <v>2009</v>
      </c>
      <c r="B21" s="22"/>
      <c r="C21" s="37">
        <f>AVERAGE(C240,C244,C248,C252)</f>
        <v>10.469916666666668</v>
      </c>
      <c r="D21" s="37">
        <f>AVERAGE(D240,D244,D248,D252)</f>
        <v>11.040416666666665</v>
      </c>
      <c r="E21" s="37">
        <f>AVERAGE(E240,E244,E248,E252)</f>
        <v>12.561666666666667</v>
      </c>
      <c r="F21" s="37">
        <f aca="true" t="shared" si="12" ref="F21:L21">AVERAGE(F240,F244,F248,F252)</f>
        <v>11.071666666666667</v>
      </c>
      <c r="G21" s="37">
        <f t="shared" si="12"/>
        <v>6.359999999999999</v>
      </c>
      <c r="H21" s="37">
        <f t="shared" si="12"/>
        <v>8.526666666666667</v>
      </c>
      <c r="I21" s="37">
        <f t="shared" si="12"/>
        <v>9.110833333333332</v>
      </c>
      <c r="J21" s="37">
        <f t="shared" si="12"/>
        <v>9.722499999999998</v>
      </c>
      <c r="K21" s="37">
        <f t="shared" si="12"/>
        <v>9.3275</v>
      </c>
      <c r="L21" s="37">
        <f t="shared" si="12"/>
        <v>11.1</v>
      </c>
      <c r="M21" s="70" t="s">
        <v>146</v>
      </c>
      <c r="N21" s="20">
        <v>2009</v>
      </c>
    </row>
    <row r="22" spans="1:24" ht="15" customHeight="1">
      <c r="A22" s="20">
        <v>2010</v>
      </c>
      <c r="B22" s="22"/>
      <c r="C22" s="37">
        <f aca="true" t="shared" si="13" ref="C22:L22">AVERAGE(C258,C262,C266,C270)</f>
        <v>17.21291666666667</v>
      </c>
      <c r="D22" s="37">
        <f>AVERAGE(D258,D262,D266,D270)</f>
        <v>19.800416666666667</v>
      </c>
      <c r="E22" s="37">
        <f t="shared" si="13"/>
        <v>17.55125</v>
      </c>
      <c r="F22" s="37">
        <f t="shared" si="13"/>
        <v>14.208333333333332</v>
      </c>
      <c r="G22" s="37">
        <f t="shared" si="13"/>
        <v>6.2875000000000005</v>
      </c>
      <c r="H22" s="37">
        <f t="shared" si="13"/>
        <v>8.389166666666668</v>
      </c>
      <c r="I22" s="37">
        <f t="shared" si="13"/>
        <v>8.9475</v>
      </c>
      <c r="J22" s="37">
        <f t="shared" si="13"/>
        <v>9.466666666666667</v>
      </c>
      <c r="K22" s="37">
        <f t="shared" si="13"/>
        <v>9.254166666666666</v>
      </c>
      <c r="L22" s="37">
        <f t="shared" si="13"/>
        <v>10.767499999999998</v>
      </c>
      <c r="M22" s="70" t="s">
        <v>168</v>
      </c>
      <c r="N22" s="20">
        <v>2010</v>
      </c>
      <c r="O22" s="193"/>
      <c r="P22" s="193"/>
      <c r="Q22" s="193"/>
      <c r="R22" s="193"/>
      <c r="S22" s="193"/>
      <c r="T22" s="193"/>
      <c r="U22" s="193"/>
      <c r="V22" s="193"/>
      <c r="W22" s="193"/>
      <c r="X22" s="193"/>
    </row>
    <row r="23" spans="1:14" ht="15" customHeight="1">
      <c r="A23" s="20">
        <v>2011</v>
      </c>
      <c r="B23" s="22"/>
      <c r="C23" s="37">
        <f>AVERAGE(C273,C274,C275,C276,C277,C278,C279,C280,C281,C282,C283,C284)</f>
        <v>24.445000000000004</v>
      </c>
      <c r="D23" s="37">
        <f>AVERAGE(D273:D284)</f>
        <v>30.460833333333337</v>
      </c>
      <c r="E23" s="37">
        <f aca="true" t="shared" si="14" ref="E23:L23">AVERAGE(E273,E274,E275,E276,E277,E278,E279,E280,E281,E282,E283,E284)</f>
        <v>27.174166666666665</v>
      </c>
      <c r="F23" s="37">
        <f t="shared" si="14"/>
        <v>19.639166666666668</v>
      </c>
      <c r="G23" s="37">
        <f t="shared" si="14"/>
        <v>6.440833333333334</v>
      </c>
      <c r="H23" s="37">
        <f t="shared" si="14"/>
        <v>9.125000000000002</v>
      </c>
      <c r="I23" s="37">
        <f t="shared" si="14"/>
        <v>9.725833333333332</v>
      </c>
      <c r="J23" s="37">
        <f t="shared" si="14"/>
        <v>10.309166666666668</v>
      </c>
      <c r="K23" s="37">
        <f t="shared" si="14"/>
        <v>10.103333333333333</v>
      </c>
      <c r="L23" s="37">
        <f t="shared" si="14"/>
        <v>11.755</v>
      </c>
      <c r="M23" s="37" t="s">
        <v>168</v>
      </c>
      <c r="N23" s="20">
        <v>2011</v>
      </c>
    </row>
    <row r="24" spans="1:14" ht="15" customHeight="1">
      <c r="A24" s="20">
        <v>2012</v>
      </c>
      <c r="B24" s="22"/>
      <c r="C24" s="37">
        <f>AVERAGE(C287,C288,C289,C290,C291,C292,C293,C294,C295,C296,C297,C298)</f>
        <v>22.396666666666672</v>
      </c>
      <c r="D24" s="37">
        <f>AVERAGE(D287:D298)</f>
        <v>27.576666666666664</v>
      </c>
      <c r="E24" s="37">
        <f aca="true" t="shared" si="15" ref="E24:L24">AVERAGE(E287,E288,E289,E290,E291,E292,E293,E294,E295,E296,E297,E298)</f>
        <v>28.4575</v>
      </c>
      <c r="F24" s="37">
        <f t="shared" si="15"/>
        <v>20</v>
      </c>
      <c r="G24" s="37">
        <f t="shared" si="15"/>
        <v>6.420000000000001</v>
      </c>
      <c r="H24" s="37">
        <f t="shared" si="15"/>
        <v>9.159999999999998</v>
      </c>
      <c r="I24" s="37">
        <f t="shared" si="15"/>
        <v>9.75</v>
      </c>
      <c r="J24" s="37">
        <f t="shared" si="15"/>
        <v>10.39</v>
      </c>
      <c r="K24" s="37">
        <f t="shared" si="15"/>
        <v>10.25</v>
      </c>
      <c r="L24" s="37">
        <f t="shared" si="15"/>
        <v>11.909999999999998</v>
      </c>
      <c r="M24" s="37" t="s">
        <v>168</v>
      </c>
      <c r="N24" s="20">
        <v>2012</v>
      </c>
    </row>
    <row r="25" spans="1:14" ht="15" customHeight="1">
      <c r="A25" s="20">
        <v>2013</v>
      </c>
      <c r="B25" s="22"/>
      <c r="C25" s="37">
        <f aca="true" t="shared" si="16" ref="C25:L25">AVERAGE(C301:C312)</f>
        <v>8.048333333333334</v>
      </c>
      <c r="D25" s="37">
        <f t="shared" si="16"/>
        <v>11.793125000000002</v>
      </c>
      <c r="E25" s="37">
        <f t="shared" si="16"/>
        <v>13.611874999999998</v>
      </c>
      <c r="F25" s="37">
        <f t="shared" si="16"/>
        <v>10.958333333333334</v>
      </c>
      <c r="G25" s="37">
        <f t="shared" si="16"/>
        <v>5.8125</v>
      </c>
      <c r="H25" s="37">
        <f t="shared" si="16"/>
        <v>7.681666666666665</v>
      </c>
      <c r="I25" s="37">
        <f t="shared" si="16"/>
        <v>7.967500000000001</v>
      </c>
      <c r="J25" s="37">
        <f t="shared" si="16"/>
        <v>9.08333333333333</v>
      </c>
      <c r="K25" s="37">
        <f t="shared" si="16"/>
        <v>8.944999999999999</v>
      </c>
      <c r="L25" s="37">
        <f t="shared" si="16"/>
        <v>10.42</v>
      </c>
      <c r="M25" s="37" t="s">
        <v>225</v>
      </c>
      <c r="N25" s="20">
        <v>2013</v>
      </c>
    </row>
    <row r="26" spans="1:15" ht="15" customHeight="1">
      <c r="A26" s="20"/>
      <c r="B26" s="22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5"/>
      <c r="N26" s="20"/>
      <c r="O26" s="27"/>
    </row>
    <row r="27" spans="1:15" ht="15" customHeight="1" hidden="1">
      <c r="A27" s="20">
        <v>1997</v>
      </c>
      <c r="B27" s="22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49">
        <v>1997</v>
      </c>
      <c r="O27" s="27"/>
    </row>
    <row r="28" spans="1:15" ht="15" customHeight="1" hidden="1">
      <c r="A28" s="49" t="s">
        <v>114</v>
      </c>
      <c r="B28" s="42"/>
      <c r="C28" s="35">
        <v>20.01</v>
      </c>
      <c r="D28" s="35"/>
      <c r="E28" s="35"/>
      <c r="F28" s="35">
        <v>25</v>
      </c>
      <c r="G28" s="35">
        <v>7.56</v>
      </c>
      <c r="H28" s="35">
        <v>10.25</v>
      </c>
      <c r="I28" s="35">
        <v>12.39</v>
      </c>
      <c r="J28" s="35">
        <v>13.69</v>
      </c>
      <c r="K28" s="35">
        <v>14.38</v>
      </c>
      <c r="L28" s="35">
        <v>17.35</v>
      </c>
      <c r="M28" s="35" t="s">
        <v>89</v>
      </c>
      <c r="N28" s="49" t="s">
        <v>114</v>
      </c>
      <c r="O28" s="27"/>
    </row>
    <row r="29" spans="1:15" ht="15" customHeight="1" hidden="1">
      <c r="A29" s="49" t="s">
        <v>86</v>
      </c>
      <c r="B29" s="42"/>
      <c r="C29" s="35">
        <v>13.17</v>
      </c>
      <c r="D29" s="35"/>
      <c r="E29" s="35"/>
      <c r="F29" s="35">
        <v>22</v>
      </c>
      <c r="G29" s="35">
        <v>6.75</v>
      </c>
      <c r="H29" s="35">
        <v>10.06</v>
      </c>
      <c r="I29" s="35">
        <v>11.1</v>
      </c>
      <c r="J29" s="35">
        <v>12.59</v>
      </c>
      <c r="K29" s="35">
        <v>13.77</v>
      </c>
      <c r="L29" s="35">
        <v>15.75</v>
      </c>
      <c r="M29" s="35" t="s">
        <v>90</v>
      </c>
      <c r="N29" s="49" t="s">
        <v>86</v>
      </c>
      <c r="O29" s="27"/>
    </row>
    <row r="30" spans="1:15" ht="15" customHeight="1" hidden="1">
      <c r="A30" s="49" t="s">
        <v>87</v>
      </c>
      <c r="B30" s="42"/>
      <c r="C30" s="35">
        <v>8.83</v>
      </c>
      <c r="D30" s="35"/>
      <c r="E30" s="35"/>
      <c r="F30" s="35">
        <v>22</v>
      </c>
      <c r="G30" s="35">
        <v>6.9</v>
      </c>
      <c r="H30" s="35">
        <v>9</v>
      </c>
      <c r="I30" s="35">
        <v>10</v>
      </c>
      <c r="J30" s="35">
        <v>11</v>
      </c>
      <c r="K30" s="35">
        <v>12</v>
      </c>
      <c r="L30" s="35">
        <v>14</v>
      </c>
      <c r="M30" s="35" t="s">
        <v>90</v>
      </c>
      <c r="N30" s="49" t="s">
        <v>87</v>
      </c>
      <c r="O30" s="27"/>
    </row>
    <row r="31" spans="1:15" ht="15" customHeight="1" hidden="1">
      <c r="A31" s="49" t="s">
        <v>88</v>
      </c>
      <c r="B31" s="42"/>
      <c r="C31" s="35">
        <v>8.83</v>
      </c>
      <c r="D31" s="35"/>
      <c r="E31" s="35"/>
      <c r="F31" s="35">
        <v>22</v>
      </c>
      <c r="G31" s="35">
        <v>3.13</v>
      </c>
      <c r="H31" s="35">
        <v>5.13</v>
      </c>
      <c r="I31" s="35">
        <v>6.13</v>
      </c>
      <c r="J31" s="35">
        <v>7.13</v>
      </c>
      <c r="K31" s="35">
        <v>8.13</v>
      </c>
      <c r="L31" s="35">
        <v>10.13</v>
      </c>
      <c r="M31" s="35" t="s">
        <v>90</v>
      </c>
      <c r="N31" s="49" t="s">
        <v>88</v>
      </c>
      <c r="O31" s="27"/>
    </row>
    <row r="32" spans="1:15" ht="15" customHeight="1" hidden="1">
      <c r="A32" s="49"/>
      <c r="B32" s="42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49"/>
      <c r="O32" s="27"/>
    </row>
    <row r="33" spans="1:15" ht="15" customHeight="1" hidden="1">
      <c r="A33" s="20">
        <v>1998</v>
      </c>
      <c r="B33" s="22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49">
        <v>1998</v>
      </c>
      <c r="O33" s="27"/>
    </row>
    <row r="34" spans="1:15" ht="15" customHeight="1" hidden="1">
      <c r="A34" s="49" t="s">
        <v>25</v>
      </c>
      <c r="B34" s="42"/>
      <c r="C34" s="35">
        <v>8.83</v>
      </c>
      <c r="D34" s="35"/>
      <c r="E34" s="35"/>
      <c r="F34" s="35">
        <v>22</v>
      </c>
      <c r="G34" s="35">
        <v>3</v>
      </c>
      <c r="H34" s="35">
        <v>5</v>
      </c>
      <c r="I34" s="35">
        <v>6</v>
      </c>
      <c r="J34" s="35">
        <v>7</v>
      </c>
      <c r="K34" s="35">
        <v>8</v>
      </c>
      <c r="L34" s="35">
        <v>10</v>
      </c>
      <c r="M34" s="35" t="s">
        <v>90</v>
      </c>
      <c r="N34" s="49" t="s">
        <v>25</v>
      </c>
      <c r="O34" s="27"/>
    </row>
    <row r="35" spans="1:15" ht="15" customHeight="1" hidden="1">
      <c r="A35" s="49" t="s">
        <v>26</v>
      </c>
      <c r="B35" s="42"/>
      <c r="C35" s="35">
        <v>8.83</v>
      </c>
      <c r="D35" s="35"/>
      <c r="E35" s="35"/>
      <c r="F35" s="35">
        <v>22</v>
      </c>
      <c r="G35" s="35">
        <v>3</v>
      </c>
      <c r="H35" s="35">
        <v>5</v>
      </c>
      <c r="I35" s="35">
        <v>6</v>
      </c>
      <c r="J35" s="35">
        <v>7</v>
      </c>
      <c r="K35" s="35">
        <v>8</v>
      </c>
      <c r="L35" s="35">
        <v>10</v>
      </c>
      <c r="M35" s="35" t="s">
        <v>90</v>
      </c>
      <c r="N35" s="49" t="s">
        <v>26</v>
      </c>
      <c r="O35" s="27"/>
    </row>
    <row r="36" spans="1:15" ht="15" customHeight="1" hidden="1">
      <c r="A36" s="49" t="s">
        <v>27</v>
      </c>
      <c r="B36" s="42"/>
      <c r="C36" s="35">
        <v>8.83</v>
      </c>
      <c r="D36" s="35"/>
      <c r="E36" s="35"/>
      <c r="F36" s="35">
        <v>22</v>
      </c>
      <c r="G36" s="35">
        <v>3</v>
      </c>
      <c r="H36" s="35">
        <v>5</v>
      </c>
      <c r="I36" s="35">
        <v>6</v>
      </c>
      <c r="J36" s="35">
        <v>7</v>
      </c>
      <c r="K36" s="35">
        <v>8</v>
      </c>
      <c r="L36" s="35">
        <v>10</v>
      </c>
      <c r="M36" s="35" t="s">
        <v>90</v>
      </c>
      <c r="N36" s="49" t="s">
        <v>27</v>
      </c>
      <c r="O36" s="27"/>
    </row>
    <row r="37" spans="1:15" ht="15" customHeight="1" hidden="1">
      <c r="A37" s="49" t="s">
        <v>114</v>
      </c>
      <c r="B37" s="42"/>
      <c r="C37" s="35">
        <f aca="true" t="shared" si="17" ref="C37:L37">AVERAGE(C34:C36)</f>
        <v>8.83</v>
      </c>
      <c r="D37" s="35"/>
      <c r="E37" s="35"/>
      <c r="F37" s="35">
        <f t="shared" si="17"/>
        <v>22</v>
      </c>
      <c r="G37" s="35">
        <f t="shared" si="17"/>
        <v>3</v>
      </c>
      <c r="H37" s="35">
        <f t="shared" si="17"/>
        <v>5</v>
      </c>
      <c r="I37" s="35">
        <f t="shared" si="17"/>
        <v>6</v>
      </c>
      <c r="J37" s="35">
        <f t="shared" si="17"/>
        <v>7</v>
      </c>
      <c r="K37" s="35">
        <f t="shared" si="17"/>
        <v>8</v>
      </c>
      <c r="L37" s="35">
        <f t="shared" si="17"/>
        <v>10</v>
      </c>
      <c r="M37" s="35"/>
      <c r="N37" s="49"/>
      <c r="O37" s="27"/>
    </row>
    <row r="38" spans="1:15" ht="15" customHeight="1" hidden="1">
      <c r="A38" s="49" t="s">
        <v>28</v>
      </c>
      <c r="B38" s="42"/>
      <c r="C38" s="35">
        <v>9.28</v>
      </c>
      <c r="D38" s="35"/>
      <c r="E38" s="35"/>
      <c r="F38" s="35">
        <v>22</v>
      </c>
      <c r="G38" s="35">
        <v>3</v>
      </c>
      <c r="H38" s="35">
        <v>4.88</v>
      </c>
      <c r="I38" s="35">
        <v>5.97</v>
      </c>
      <c r="J38" s="35">
        <v>7.13</v>
      </c>
      <c r="K38" s="35">
        <v>8.29</v>
      </c>
      <c r="L38" s="35">
        <v>9.56</v>
      </c>
      <c r="M38" s="35" t="s">
        <v>91</v>
      </c>
      <c r="N38" s="49" t="s">
        <v>28</v>
      </c>
      <c r="O38" s="27"/>
    </row>
    <row r="39" spans="1:15" ht="15" customHeight="1" hidden="1">
      <c r="A39" s="49" t="s">
        <v>29</v>
      </c>
      <c r="B39" s="42"/>
      <c r="C39" s="35">
        <v>9.82</v>
      </c>
      <c r="D39" s="35"/>
      <c r="E39" s="35"/>
      <c r="F39" s="35">
        <v>25</v>
      </c>
      <c r="G39" s="35">
        <v>3</v>
      </c>
      <c r="H39" s="35">
        <v>4.5</v>
      </c>
      <c r="I39" s="35">
        <v>5.4</v>
      </c>
      <c r="J39" s="35">
        <v>6.3</v>
      </c>
      <c r="K39" s="35">
        <v>7.2</v>
      </c>
      <c r="L39" s="35">
        <v>8.3</v>
      </c>
      <c r="M39" s="35" t="s">
        <v>91</v>
      </c>
      <c r="N39" s="49" t="s">
        <v>29</v>
      </c>
      <c r="O39" s="27"/>
    </row>
    <row r="40" spans="1:15" ht="15" customHeight="1" hidden="1">
      <c r="A40" s="49" t="s">
        <v>30</v>
      </c>
      <c r="B40" s="42"/>
      <c r="C40" s="35">
        <v>17.51</v>
      </c>
      <c r="D40" s="35"/>
      <c r="E40" s="35"/>
      <c r="F40" s="35">
        <v>35</v>
      </c>
      <c r="G40" s="35">
        <v>3.25</v>
      </c>
      <c r="H40" s="35">
        <v>4.25</v>
      </c>
      <c r="I40" s="35">
        <v>5.13</v>
      </c>
      <c r="J40" s="35">
        <v>6</v>
      </c>
      <c r="K40" s="35">
        <v>6.67</v>
      </c>
      <c r="L40" s="35">
        <v>7.3</v>
      </c>
      <c r="M40" s="35" t="s">
        <v>91</v>
      </c>
      <c r="N40" s="49" t="s">
        <v>30</v>
      </c>
      <c r="O40" s="27"/>
    </row>
    <row r="41" spans="1:15" ht="15" customHeight="1" hidden="1">
      <c r="A41" s="49" t="s">
        <v>86</v>
      </c>
      <c r="B41" s="42"/>
      <c r="C41" s="35">
        <f aca="true" t="shared" si="18" ref="C41:L41">AVERAGE(C38:C40)</f>
        <v>12.203333333333333</v>
      </c>
      <c r="D41" s="35"/>
      <c r="E41" s="35"/>
      <c r="F41" s="35">
        <f t="shared" si="18"/>
        <v>27.333333333333332</v>
      </c>
      <c r="G41" s="35">
        <f t="shared" si="18"/>
        <v>3.0833333333333335</v>
      </c>
      <c r="H41" s="35">
        <f t="shared" si="18"/>
        <v>4.543333333333333</v>
      </c>
      <c r="I41" s="35">
        <f t="shared" si="18"/>
        <v>5.5</v>
      </c>
      <c r="J41" s="35">
        <f t="shared" si="18"/>
        <v>6.476666666666667</v>
      </c>
      <c r="K41" s="35">
        <f t="shared" si="18"/>
        <v>7.386666666666666</v>
      </c>
      <c r="L41" s="35">
        <f t="shared" si="18"/>
        <v>8.386666666666667</v>
      </c>
      <c r="M41" s="35"/>
      <c r="N41" s="49"/>
      <c r="O41" s="27"/>
    </row>
    <row r="42" spans="1:15" ht="15" customHeight="1" hidden="1">
      <c r="A42" s="49" t="s">
        <v>31</v>
      </c>
      <c r="B42" s="42"/>
      <c r="C42" s="35">
        <v>27.7</v>
      </c>
      <c r="D42" s="35"/>
      <c r="E42" s="35"/>
      <c r="F42" s="35">
        <v>40</v>
      </c>
      <c r="G42" s="35">
        <v>3.68</v>
      </c>
      <c r="H42" s="35">
        <v>4.36</v>
      </c>
      <c r="I42" s="35">
        <v>6.18</v>
      </c>
      <c r="J42" s="35">
        <v>6.98</v>
      </c>
      <c r="K42" s="35">
        <v>6.77</v>
      </c>
      <c r="L42" s="35">
        <v>8.34</v>
      </c>
      <c r="M42" s="35" t="s">
        <v>90</v>
      </c>
      <c r="N42" s="49" t="s">
        <v>31</v>
      </c>
      <c r="O42" s="27"/>
    </row>
    <row r="43" spans="1:15" ht="15" customHeight="1" hidden="1">
      <c r="A43" s="49" t="s">
        <v>32</v>
      </c>
      <c r="B43" s="42"/>
      <c r="C43" s="35">
        <v>32.95</v>
      </c>
      <c r="D43" s="35"/>
      <c r="E43" s="35"/>
      <c r="F43" s="35">
        <v>40</v>
      </c>
      <c r="G43" s="35">
        <v>6.13</v>
      </c>
      <c r="H43" s="35">
        <v>5.5</v>
      </c>
      <c r="I43" s="35">
        <v>7.35</v>
      </c>
      <c r="J43" s="35">
        <v>8.32</v>
      </c>
      <c r="K43" s="35">
        <v>8.58</v>
      </c>
      <c r="L43" s="35">
        <v>10.07</v>
      </c>
      <c r="M43" s="35" t="s">
        <v>83</v>
      </c>
      <c r="N43" s="49" t="s">
        <v>32</v>
      </c>
      <c r="O43" s="27"/>
    </row>
    <row r="44" spans="1:15" ht="15" customHeight="1" hidden="1">
      <c r="A44" s="49" t="s">
        <v>33</v>
      </c>
      <c r="B44" s="42"/>
      <c r="C44" s="35">
        <v>35.85</v>
      </c>
      <c r="D44" s="35"/>
      <c r="E44" s="35"/>
      <c r="F44" s="35">
        <v>40</v>
      </c>
      <c r="G44" s="35">
        <v>7.78</v>
      </c>
      <c r="H44" s="35">
        <v>7.83</v>
      </c>
      <c r="I44" s="35">
        <v>9.35</v>
      </c>
      <c r="J44" s="35">
        <v>10.66</v>
      </c>
      <c r="K44" s="35">
        <v>11.58</v>
      </c>
      <c r="L44" s="35">
        <v>12.41</v>
      </c>
      <c r="M44" s="35" t="s">
        <v>92</v>
      </c>
      <c r="N44" s="49" t="s">
        <v>33</v>
      </c>
      <c r="O44" s="27"/>
    </row>
    <row r="45" spans="1:15" ht="15" customHeight="1" hidden="1">
      <c r="A45" s="49" t="s">
        <v>87</v>
      </c>
      <c r="B45" s="42"/>
      <c r="C45" s="35">
        <f>AVERAGE(C42:C44)</f>
        <v>32.166666666666664</v>
      </c>
      <c r="D45" s="35"/>
      <c r="E45" s="35"/>
      <c r="F45" s="35">
        <f aca="true" t="shared" si="19" ref="F45:L45">AVERAGE(F42:F44)</f>
        <v>40</v>
      </c>
      <c r="G45" s="35">
        <f t="shared" si="19"/>
        <v>5.863333333333333</v>
      </c>
      <c r="H45" s="35">
        <f t="shared" si="19"/>
        <v>5.896666666666666</v>
      </c>
      <c r="I45" s="35">
        <f t="shared" si="19"/>
        <v>7.626666666666666</v>
      </c>
      <c r="J45" s="35">
        <f t="shared" si="19"/>
        <v>8.653333333333334</v>
      </c>
      <c r="K45" s="35">
        <f t="shared" si="19"/>
        <v>8.976666666666667</v>
      </c>
      <c r="L45" s="35">
        <f t="shared" si="19"/>
        <v>10.273333333333333</v>
      </c>
      <c r="M45" s="35"/>
      <c r="N45" s="49"/>
      <c r="O45" s="27"/>
    </row>
    <row r="46" spans="1:15" ht="15" customHeight="1" hidden="1">
      <c r="A46" s="49" t="s">
        <v>35</v>
      </c>
      <c r="B46" s="42"/>
      <c r="C46" s="35">
        <v>35.85</v>
      </c>
      <c r="D46" s="35"/>
      <c r="E46" s="35"/>
      <c r="F46" s="35">
        <v>40</v>
      </c>
      <c r="G46" s="35">
        <v>7.45</v>
      </c>
      <c r="H46" s="35">
        <v>7.33</v>
      </c>
      <c r="I46" s="35">
        <v>8.88</v>
      </c>
      <c r="J46" s="35">
        <v>10.25</v>
      </c>
      <c r="K46" s="35">
        <v>10.83</v>
      </c>
      <c r="L46" s="35">
        <v>12</v>
      </c>
      <c r="M46" s="35" t="s">
        <v>144</v>
      </c>
      <c r="N46" s="49" t="s">
        <v>35</v>
      </c>
      <c r="O46" s="27"/>
    </row>
    <row r="47" spans="1:15" ht="15" customHeight="1" hidden="1">
      <c r="A47" s="49" t="s">
        <v>36</v>
      </c>
      <c r="B47" s="42"/>
      <c r="C47" s="35">
        <v>35.39</v>
      </c>
      <c r="D47" s="35"/>
      <c r="E47" s="35"/>
      <c r="F47" s="35">
        <v>40</v>
      </c>
      <c r="G47" s="35">
        <v>7.88</v>
      </c>
      <c r="H47" s="35">
        <v>7.67</v>
      </c>
      <c r="I47" s="35">
        <v>9.19</v>
      </c>
      <c r="J47" s="35">
        <v>10.63</v>
      </c>
      <c r="K47" s="35">
        <v>11.29</v>
      </c>
      <c r="L47" s="35">
        <v>12.5</v>
      </c>
      <c r="M47" s="35" t="s">
        <v>92</v>
      </c>
      <c r="N47" s="49" t="s">
        <v>36</v>
      </c>
      <c r="O47" s="27"/>
    </row>
    <row r="48" spans="1:15" ht="15" customHeight="1" hidden="1">
      <c r="A48" s="49" t="s">
        <v>37</v>
      </c>
      <c r="B48" s="42"/>
      <c r="C48" s="35">
        <v>34.4</v>
      </c>
      <c r="D48" s="35"/>
      <c r="E48" s="35"/>
      <c r="F48" s="35">
        <v>40</v>
      </c>
      <c r="G48" s="35">
        <v>8.25</v>
      </c>
      <c r="H48" s="35">
        <v>8.25</v>
      </c>
      <c r="I48" s="35">
        <v>10</v>
      </c>
      <c r="J48" s="35">
        <v>11.5</v>
      </c>
      <c r="K48" s="35">
        <v>12.2</v>
      </c>
      <c r="L48" s="35">
        <v>13.2</v>
      </c>
      <c r="M48" s="35" t="s">
        <v>93</v>
      </c>
      <c r="N48" s="49" t="s">
        <v>37</v>
      </c>
      <c r="O48" s="27"/>
    </row>
    <row r="49" spans="1:15" ht="15" customHeight="1" hidden="1">
      <c r="A49" s="49" t="s">
        <v>88</v>
      </c>
      <c r="B49" s="42"/>
      <c r="C49" s="35">
        <f>AVERAGE(C46:C48)</f>
        <v>35.21333333333334</v>
      </c>
      <c r="D49" s="35"/>
      <c r="E49" s="35"/>
      <c r="F49" s="35">
        <f aca="true" t="shared" si="20" ref="F49:L49">AVERAGE(F46:F48)</f>
        <v>40</v>
      </c>
      <c r="G49" s="35">
        <f t="shared" si="20"/>
        <v>7.859999999999999</v>
      </c>
      <c r="H49" s="35">
        <f t="shared" si="20"/>
        <v>7.75</v>
      </c>
      <c r="I49" s="35">
        <f t="shared" si="20"/>
        <v>9.356666666666667</v>
      </c>
      <c r="J49" s="35">
        <f t="shared" si="20"/>
        <v>10.793333333333335</v>
      </c>
      <c r="K49" s="35">
        <f t="shared" si="20"/>
        <v>11.439999999999998</v>
      </c>
      <c r="L49" s="35">
        <f t="shared" si="20"/>
        <v>12.566666666666668</v>
      </c>
      <c r="M49" s="35"/>
      <c r="N49" s="49"/>
      <c r="O49" s="27"/>
    </row>
    <row r="50" spans="1:15" ht="15" customHeight="1" hidden="1">
      <c r="A50" s="49"/>
      <c r="B50" s="42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49"/>
      <c r="O50" s="27"/>
    </row>
    <row r="51" spans="1:15" ht="15" customHeight="1" hidden="1">
      <c r="A51" s="20">
        <v>1999</v>
      </c>
      <c r="B51" s="22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20">
        <v>1999</v>
      </c>
      <c r="O51" s="27"/>
    </row>
    <row r="52" spans="1:15" ht="15" customHeight="1" hidden="1">
      <c r="A52" s="49" t="s">
        <v>25</v>
      </c>
      <c r="B52" s="42"/>
      <c r="C52" s="35">
        <v>34.25</v>
      </c>
      <c r="D52" s="35"/>
      <c r="E52" s="35"/>
      <c r="F52" s="35">
        <v>40</v>
      </c>
      <c r="G52" s="35">
        <v>9.5</v>
      </c>
      <c r="H52" s="35">
        <v>8.88</v>
      </c>
      <c r="I52" s="35">
        <v>10</v>
      </c>
      <c r="J52" s="35">
        <v>11.88</v>
      </c>
      <c r="K52" s="35">
        <v>13.31</v>
      </c>
      <c r="L52" s="35">
        <v>13.88</v>
      </c>
      <c r="M52" s="35" t="s">
        <v>84</v>
      </c>
      <c r="N52" s="49" t="s">
        <v>25</v>
      </c>
      <c r="O52" s="27"/>
    </row>
    <row r="53" spans="1:15" ht="15" customHeight="1" hidden="1">
      <c r="A53" s="49" t="s">
        <v>26</v>
      </c>
      <c r="B53" s="42"/>
      <c r="C53" s="35">
        <v>34.25</v>
      </c>
      <c r="D53" s="35"/>
      <c r="E53" s="35"/>
      <c r="F53" s="35">
        <v>40</v>
      </c>
      <c r="G53" s="35">
        <v>7.5</v>
      </c>
      <c r="H53" s="35">
        <v>8.38</v>
      </c>
      <c r="I53" s="35">
        <v>10</v>
      </c>
      <c r="J53" s="35">
        <v>11.38</v>
      </c>
      <c r="K53" s="35">
        <v>12.56</v>
      </c>
      <c r="L53" s="35">
        <v>13.38</v>
      </c>
      <c r="M53" s="35" t="s">
        <v>94</v>
      </c>
      <c r="N53" s="49" t="s">
        <v>26</v>
      </c>
      <c r="O53" s="27"/>
    </row>
    <row r="54" spans="1:15" ht="15" customHeight="1" hidden="1">
      <c r="A54" s="49" t="s">
        <v>27</v>
      </c>
      <c r="B54" s="42"/>
      <c r="C54" s="35">
        <v>34.25</v>
      </c>
      <c r="D54" s="35"/>
      <c r="E54" s="35"/>
      <c r="F54" s="35">
        <v>40</v>
      </c>
      <c r="G54" s="35">
        <v>8.31</v>
      </c>
      <c r="H54" s="35">
        <v>8.46</v>
      </c>
      <c r="I54" s="35">
        <v>10</v>
      </c>
      <c r="J54" s="35">
        <v>11.54</v>
      </c>
      <c r="K54" s="35">
        <v>12.65</v>
      </c>
      <c r="L54" s="35">
        <v>13.48</v>
      </c>
      <c r="M54" s="35" t="s">
        <v>92</v>
      </c>
      <c r="N54" s="49" t="s">
        <v>27</v>
      </c>
      <c r="O54" s="27"/>
    </row>
    <row r="55" spans="1:15" ht="15" customHeight="1" hidden="1">
      <c r="A55" s="49" t="s">
        <v>114</v>
      </c>
      <c r="B55" s="42"/>
      <c r="C55" s="35">
        <f>AVERAGE(C52:C54)</f>
        <v>34.25</v>
      </c>
      <c r="D55" s="35"/>
      <c r="E55" s="35"/>
      <c r="F55" s="35">
        <f aca="true" t="shared" si="21" ref="F55:L55">AVERAGE(F52:F54)</f>
        <v>40</v>
      </c>
      <c r="G55" s="35">
        <f t="shared" si="21"/>
        <v>8.436666666666667</v>
      </c>
      <c r="H55" s="35">
        <f t="shared" si="21"/>
        <v>8.573333333333334</v>
      </c>
      <c r="I55" s="35">
        <f t="shared" si="21"/>
        <v>10</v>
      </c>
      <c r="J55" s="35">
        <f t="shared" si="21"/>
        <v>11.6</v>
      </c>
      <c r="K55" s="35">
        <f t="shared" si="21"/>
        <v>12.840000000000002</v>
      </c>
      <c r="L55" s="35">
        <f t="shared" si="21"/>
        <v>13.58</v>
      </c>
      <c r="M55" s="35"/>
      <c r="N55" s="49"/>
      <c r="O55" s="27"/>
    </row>
    <row r="56" spans="1:15" ht="15" customHeight="1" hidden="1">
      <c r="A56" s="49" t="s">
        <v>28</v>
      </c>
      <c r="B56" s="42"/>
      <c r="C56" s="37">
        <v>34.25</v>
      </c>
      <c r="D56" s="37"/>
      <c r="E56" s="37"/>
      <c r="F56" s="37">
        <v>40</v>
      </c>
      <c r="G56" s="37">
        <v>8.31</v>
      </c>
      <c r="H56" s="37">
        <v>8.46</v>
      </c>
      <c r="I56" s="37">
        <v>10</v>
      </c>
      <c r="J56" s="37">
        <v>11.54</v>
      </c>
      <c r="K56" s="37">
        <v>12.65</v>
      </c>
      <c r="L56" s="37">
        <v>13.48</v>
      </c>
      <c r="M56" s="37" t="s">
        <v>92</v>
      </c>
      <c r="N56" s="49" t="s">
        <v>135</v>
      </c>
      <c r="O56" s="27"/>
    </row>
    <row r="57" spans="1:15" ht="15" customHeight="1" hidden="1">
      <c r="A57" s="49" t="s">
        <v>29</v>
      </c>
      <c r="B57" s="42"/>
      <c r="C57" s="37">
        <v>30.07</v>
      </c>
      <c r="D57" s="37"/>
      <c r="E57" s="37"/>
      <c r="F57" s="37">
        <v>40.5</v>
      </c>
      <c r="G57" s="37">
        <v>6.75</v>
      </c>
      <c r="H57" s="37">
        <v>8.5</v>
      </c>
      <c r="I57" s="37">
        <v>9.25</v>
      </c>
      <c r="J57" s="37">
        <v>10.5</v>
      </c>
      <c r="K57" s="37">
        <v>12</v>
      </c>
      <c r="L57" s="37">
        <v>11.75</v>
      </c>
      <c r="M57" s="37" t="s">
        <v>95</v>
      </c>
      <c r="N57" s="49" t="s">
        <v>86</v>
      </c>
      <c r="O57" s="27"/>
    </row>
    <row r="58" spans="1:15" ht="15" customHeight="1" hidden="1">
      <c r="A58" s="49" t="s">
        <v>30</v>
      </c>
      <c r="B58" s="42"/>
      <c r="C58" s="37">
        <v>31.84</v>
      </c>
      <c r="D58" s="37"/>
      <c r="E58" s="37"/>
      <c r="F58" s="37">
        <v>40</v>
      </c>
      <c r="G58" s="37">
        <v>7</v>
      </c>
      <c r="H58" s="37">
        <v>8.33</v>
      </c>
      <c r="I58" s="37">
        <v>9.4</v>
      </c>
      <c r="J58" s="37">
        <v>10.6</v>
      </c>
      <c r="K58" s="37">
        <v>12</v>
      </c>
      <c r="L58" s="37">
        <v>12.2</v>
      </c>
      <c r="M58" s="37" t="s">
        <v>95</v>
      </c>
      <c r="N58" s="49" t="s">
        <v>87</v>
      </c>
      <c r="O58" s="27"/>
    </row>
    <row r="59" spans="1:15" ht="15" customHeight="1" hidden="1">
      <c r="A59" s="49" t="s">
        <v>86</v>
      </c>
      <c r="B59" s="42"/>
      <c r="C59" s="35">
        <f>AVERAGE(C56:C58)</f>
        <v>32.053333333333335</v>
      </c>
      <c r="D59" s="35"/>
      <c r="E59" s="35"/>
      <c r="F59" s="35">
        <f aca="true" t="shared" si="22" ref="F59:L59">AVERAGE(F56:F58)</f>
        <v>40.166666666666664</v>
      </c>
      <c r="G59" s="35">
        <f t="shared" si="22"/>
        <v>7.353333333333334</v>
      </c>
      <c r="H59" s="35">
        <f t="shared" si="22"/>
        <v>8.43</v>
      </c>
      <c r="I59" s="35">
        <f t="shared" si="22"/>
        <v>9.549999999999999</v>
      </c>
      <c r="J59" s="35">
        <f t="shared" si="22"/>
        <v>10.88</v>
      </c>
      <c r="K59" s="35">
        <f t="shared" si="22"/>
        <v>12.216666666666667</v>
      </c>
      <c r="L59" s="35">
        <f t="shared" si="22"/>
        <v>12.476666666666667</v>
      </c>
      <c r="M59" s="37"/>
      <c r="N59" s="49"/>
      <c r="O59" s="27"/>
    </row>
    <row r="60" spans="1:15" ht="15" customHeight="1" hidden="1">
      <c r="A60" s="49" t="s">
        <v>31</v>
      </c>
      <c r="B60" s="42"/>
      <c r="C60" s="35">
        <v>30.18</v>
      </c>
      <c r="D60" s="35"/>
      <c r="E60" s="35"/>
      <c r="F60" s="35">
        <v>40.5</v>
      </c>
      <c r="G60" s="35">
        <v>6.85</v>
      </c>
      <c r="H60" s="35">
        <v>8.5</v>
      </c>
      <c r="I60" s="35">
        <v>9.25</v>
      </c>
      <c r="J60" s="35">
        <v>10.5</v>
      </c>
      <c r="K60" s="35">
        <v>12</v>
      </c>
      <c r="L60" s="35">
        <v>12</v>
      </c>
      <c r="M60" s="37" t="s">
        <v>95</v>
      </c>
      <c r="N60" s="49" t="s">
        <v>31</v>
      </c>
      <c r="O60" s="27"/>
    </row>
    <row r="61" spans="1:15" ht="15" customHeight="1" hidden="1">
      <c r="A61" s="49" t="s">
        <v>32</v>
      </c>
      <c r="B61" s="42"/>
      <c r="C61" s="35">
        <v>31.54</v>
      </c>
      <c r="D61" s="35"/>
      <c r="E61" s="35"/>
      <c r="F61" s="35">
        <v>35</v>
      </c>
      <c r="G61" s="35">
        <v>7.19</v>
      </c>
      <c r="H61" s="35">
        <v>8.46</v>
      </c>
      <c r="I61" s="35">
        <v>9.29</v>
      </c>
      <c r="J61" s="35">
        <v>10.53</v>
      </c>
      <c r="K61" s="35">
        <v>12</v>
      </c>
      <c r="L61" s="35">
        <v>12.06</v>
      </c>
      <c r="M61" s="37" t="s">
        <v>95</v>
      </c>
      <c r="N61" s="49" t="s">
        <v>32</v>
      </c>
      <c r="O61" s="27"/>
    </row>
    <row r="62" spans="1:15" ht="15" customHeight="1" hidden="1">
      <c r="A62" s="49" t="s">
        <v>33</v>
      </c>
      <c r="B62" s="42"/>
      <c r="C62" s="35">
        <v>31.84</v>
      </c>
      <c r="D62" s="35"/>
      <c r="E62" s="35"/>
      <c r="F62" s="35">
        <v>40</v>
      </c>
      <c r="G62" s="35">
        <v>7</v>
      </c>
      <c r="H62" s="35">
        <v>8.33</v>
      </c>
      <c r="I62" s="35">
        <v>9.4</v>
      </c>
      <c r="J62" s="35">
        <v>10.6</v>
      </c>
      <c r="K62" s="35">
        <v>12</v>
      </c>
      <c r="L62" s="35">
        <v>12.2</v>
      </c>
      <c r="M62" s="37" t="s">
        <v>95</v>
      </c>
      <c r="N62" s="49" t="s">
        <v>33</v>
      </c>
      <c r="O62" s="27"/>
    </row>
    <row r="63" spans="1:15" ht="15" customHeight="1" hidden="1">
      <c r="A63" s="49" t="s">
        <v>87</v>
      </c>
      <c r="B63" s="42"/>
      <c r="C63" s="35">
        <f>AVERAGE(C60:C62)</f>
        <v>31.186666666666667</v>
      </c>
      <c r="D63" s="35"/>
      <c r="E63" s="35"/>
      <c r="F63" s="35">
        <f aca="true" t="shared" si="23" ref="F63:L63">AVERAGE(F60:F62)</f>
        <v>38.5</v>
      </c>
      <c r="G63" s="35">
        <f t="shared" si="23"/>
        <v>7.013333333333333</v>
      </c>
      <c r="H63" s="35">
        <f t="shared" si="23"/>
        <v>8.43</v>
      </c>
      <c r="I63" s="35">
        <f t="shared" si="23"/>
        <v>9.313333333333333</v>
      </c>
      <c r="J63" s="35">
        <f t="shared" si="23"/>
        <v>10.543333333333335</v>
      </c>
      <c r="K63" s="35">
        <f t="shared" si="23"/>
        <v>12</v>
      </c>
      <c r="L63" s="35">
        <f t="shared" si="23"/>
        <v>12.086666666666668</v>
      </c>
      <c r="M63" s="37"/>
      <c r="N63" s="49"/>
      <c r="O63" s="27"/>
    </row>
    <row r="64" spans="1:15" ht="15" customHeight="1" hidden="1">
      <c r="A64" s="49" t="s">
        <v>35</v>
      </c>
      <c r="B64" s="42"/>
      <c r="C64" s="35">
        <v>33.48</v>
      </c>
      <c r="D64" s="35"/>
      <c r="E64" s="35"/>
      <c r="F64" s="35">
        <v>40</v>
      </c>
      <c r="G64" s="35">
        <v>7</v>
      </c>
      <c r="H64" s="35">
        <v>8.33</v>
      </c>
      <c r="I64" s="35">
        <v>9.4</v>
      </c>
      <c r="J64" s="35">
        <v>10.6</v>
      </c>
      <c r="K64" s="35">
        <v>12</v>
      </c>
      <c r="L64" s="35">
        <v>12.2</v>
      </c>
      <c r="M64" s="37" t="s">
        <v>95</v>
      </c>
      <c r="N64" s="49" t="s">
        <v>35</v>
      </c>
      <c r="O64" s="27"/>
    </row>
    <row r="65" spans="1:15" ht="15" customHeight="1" hidden="1">
      <c r="A65" s="49" t="s">
        <v>36</v>
      </c>
      <c r="B65" s="42"/>
      <c r="C65" s="35">
        <v>34.23</v>
      </c>
      <c r="D65" s="35"/>
      <c r="E65" s="35"/>
      <c r="F65" s="35">
        <v>40</v>
      </c>
      <c r="G65" s="35">
        <v>7</v>
      </c>
      <c r="H65" s="35">
        <v>8.25</v>
      </c>
      <c r="I65" s="35">
        <v>9.4</v>
      </c>
      <c r="J65" s="35">
        <v>10.6</v>
      </c>
      <c r="K65" s="35">
        <v>12</v>
      </c>
      <c r="L65" s="35">
        <v>12.2</v>
      </c>
      <c r="M65" s="35" t="s">
        <v>95</v>
      </c>
      <c r="N65" s="49" t="s">
        <v>36</v>
      </c>
      <c r="O65" s="27"/>
    </row>
    <row r="66" spans="1:15" ht="15" customHeight="1" hidden="1">
      <c r="A66" s="49" t="s">
        <v>37</v>
      </c>
      <c r="B66" s="42"/>
      <c r="C66" s="35">
        <v>34.71</v>
      </c>
      <c r="D66" s="35"/>
      <c r="E66" s="35"/>
      <c r="F66" s="35">
        <v>40</v>
      </c>
      <c r="G66" s="35">
        <v>7</v>
      </c>
      <c r="H66" s="35">
        <v>8.25</v>
      </c>
      <c r="I66" s="35">
        <v>9.4</v>
      </c>
      <c r="J66" s="35">
        <v>10.6</v>
      </c>
      <c r="K66" s="35">
        <v>12</v>
      </c>
      <c r="L66" s="35">
        <v>12.2</v>
      </c>
      <c r="M66" s="35" t="s">
        <v>95</v>
      </c>
      <c r="N66" s="49" t="s">
        <v>37</v>
      </c>
      <c r="O66" s="27"/>
    </row>
    <row r="67" spans="1:15" ht="15" customHeight="1" hidden="1">
      <c r="A67" s="49" t="s">
        <v>88</v>
      </c>
      <c r="B67" s="42"/>
      <c r="C67" s="35">
        <f>AVERAGE(C64:C66)</f>
        <v>34.13999999999999</v>
      </c>
      <c r="D67" s="35"/>
      <c r="E67" s="35"/>
      <c r="F67" s="35">
        <f aca="true" t="shared" si="24" ref="F67:L67">AVERAGE(F64:F66)</f>
        <v>40</v>
      </c>
      <c r="G67" s="35">
        <f t="shared" si="24"/>
        <v>7</v>
      </c>
      <c r="H67" s="35">
        <f t="shared" si="24"/>
        <v>8.276666666666666</v>
      </c>
      <c r="I67" s="35">
        <f t="shared" si="24"/>
        <v>9.4</v>
      </c>
      <c r="J67" s="35">
        <f t="shared" si="24"/>
        <v>10.6</v>
      </c>
      <c r="K67" s="35">
        <f t="shared" si="24"/>
        <v>12</v>
      </c>
      <c r="L67" s="35">
        <f t="shared" si="24"/>
        <v>12.199999999999998</v>
      </c>
      <c r="M67" s="35"/>
      <c r="N67" s="49"/>
      <c r="O67" s="27"/>
    </row>
    <row r="68" ht="15" customHeight="1" hidden="1"/>
    <row r="69" spans="1:15" ht="15" customHeight="1" hidden="1">
      <c r="A69" s="20">
        <v>2000</v>
      </c>
      <c r="B69" s="22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20">
        <v>2000</v>
      </c>
      <c r="O69" s="27"/>
    </row>
    <row r="70" spans="1:15" ht="15" customHeight="1" hidden="1">
      <c r="A70" s="49" t="s">
        <v>25</v>
      </c>
      <c r="B70" s="42"/>
      <c r="C70" s="35">
        <v>34.47</v>
      </c>
      <c r="D70" s="35"/>
      <c r="E70" s="35"/>
      <c r="F70" s="35">
        <v>35</v>
      </c>
      <c r="G70" s="35">
        <v>6.25</v>
      </c>
      <c r="H70" s="35">
        <v>8.25</v>
      </c>
      <c r="I70" s="35">
        <v>9.4</v>
      </c>
      <c r="J70" s="35">
        <v>10.6</v>
      </c>
      <c r="K70" s="35">
        <v>12</v>
      </c>
      <c r="L70" s="35">
        <v>12.2</v>
      </c>
      <c r="M70" s="35" t="s">
        <v>95</v>
      </c>
      <c r="N70" s="49" t="s">
        <v>25</v>
      </c>
      <c r="O70" s="27"/>
    </row>
    <row r="71" spans="1:15" ht="15" customHeight="1" hidden="1">
      <c r="A71" s="49" t="s">
        <v>26</v>
      </c>
      <c r="B71" s="42"/>
      <c r="C71" s="35">
        <v>34.62</v>
      </c>
      <c r="D71" s="35"/>
      <c r="E71" s="35"/>
      <c r="F71" s="35">
        <v>40</v>
      </c>
      <c r="G71" s="35">
        <v>6</v>
      </c>
      <c r="H71" s="35">
        <v>8.25</v>
      </c>
      <c r="I71" s="35">
        <v>9.4</v>
      </c>
      <c r="J71" s="35">
        <v>10.6</v>
      </c>
      <c r="K71" s="35">
        <v>12</v>
      </c>
      <c r="L71" s="35">
        <v>12.2</v>
      </c>
      <c r="M71" s="35" t="s">
        <v>95</v>
      </c>
      <c r="N71" s="49" t="s">
        <v>26</v>
      </c>
      <c r="O71" s="27"/>
    </row>
    <row r="72" spans="1:15" ht="15" customHeight="1" hidden="1">
      <c r="A72" s="49" t="s">
        <v>27</v>
      </c>
      <c r="B72" s="42"/>
      <c r="C72" s="35">
        <v>36.66</v>
      </c>
      <c r="D72" s="35"/>
      <c r="E72" s="35"/>
      <c r="F72" s="35">
        <v>40</v>
      </c>
      <c r="G72" s="35">
        <v>6</v>
      </c>
      <c r="H72" s="35">
        <v>8.33</v>
      </c>
      <c r="I72" s="35">
        <v>9.4</v>
      </c>
      <c r="J72" s="35">
        <v>10.6</v>
      </c>
      <c r="K72" s="35">
        <v>12</v>
      </c>
      <c r="L72" s="35">
        <v>12.2</v>
      </c>
      <c r="M72" s="35" t="s">
        <v>95</v>
      </c>
      <c r="N72" s="49" t="s">
        <v>135</v>
      </c>
      <c r="O72" s="27"/>
    </row>
    <row r="73" spans="1:15" ht="15" customHeight="1" hidden="1">
      <c r="A73" s="49" t="s">
        <v>114</v>
      </c>
      <c r="B73" s="42"/>
      <c r="C73" s="35">
        <f>AVERAGE(C70:C72)</f>
        <v>35.25</v>
      </c>
      <c r="D73" s="35"/>
      <c r="E73" s="35"/>
      <c r="F73" s="35">
        <f aca="true" t="shared" si="25" ref="F73:L73">AVERAGE(F70:F72)</f>
        <v>38.333333333333336</v>
      </c>
      <c r="G73" s="35">
        <f t="shared" si="25"/>
        <v>6.083333333333333</v>
      </c>
      <c r="H73" s="35">
        <f t="shared" si="25"/>
        <v>8.276666666666666</v>
      </c>
      <c r="I73" s="35">
        <f t="shared" si="25"/>
        <v>9.4</v>
      </c>
      <c r="J73" s="35">
        <f t="shared" si="25"/>
        <v>10.6</v>
      </c>
      <c r="K73" s="35">
        <f t="shared" si="25"/>
        <v>12</v>
      </c>
      <c r="L73" s="35">
        <f t="shared" si="25"/>
        <v>12.199999999999998</v>
      </c>
      <c r="M73" s="35" t="s">
        <v>95</v>
      </c>
      <c r="N73" s="49" t="s">
        <v>114</v>
      </c>
      <c r="O73" s="27"/>
    </row>
    <row r="74" spans="1:15" ht="15" customHeight="1" hidden="1">
      <c r="A74" s="49" t="s">
        <v>28</v>
      </c>
      <c r="B74" s="42"/>
      <c r="C74" s="35">
        <v>35</v>
      </c>
      <c r="D74" s="35"/>
      <c r="E74" s="35"/>
      <c r="F74" s="35">
        <v>35</v>
      </c>
      <c r="G74" s="35">
        <v>6.4</v>
      </c>
      <c r="H74" s="35">
        <v>8.33</v>
      </c>
      <c r="I74" s="35">
        <v>9.6</v>
      </c>
      <c r="J74" s="35">
        <v>10.8</v>
      </c>
      <c r="K74" s="35">
        <v>12</v>
      </c>
      <c r="L74" s="35">
        <v>12.4</v>
      </c>
      <c r="M74" s="35" t="s">
        <v>95</v>
      </c>
      <c r="N74" s="49" t="s">
        <v>28</v>
      </c>
      <c r="O74" s="27"/>
    </row>
    <row r="75" spans="1:15" ht="15" customHeight="1" hidden="1">
      <c r="A75" s="49" t="s">
        <v>29</v>
      </c>
      <c r="B75" s="42"/>
      <c r="C75" s="35">
        <v>36.76</v>
      </c>
      <c r="D75" s="35"/>
      <c r="E75" s="35"/>
      <c r="F75" s="35">
        <v>35</v>
      </c>
      <c r="G75" s="35">
        <v>6.4</v>
      </c>
      <c r="H75" s="35">
        <v>8.33</v>
      </c>
      <c r="I75" s="35">
        <v>9.6</v>
      </c>
      <c r="J75" s="35">
        <v>10.8</v>
      </c>
      <c r="K75" s="35">
        <v>12</v>
      </c>
      <c r="L75" s="35">
        <v>12.4</v>
      </c>
      <c r="M75" s="35" t="s">
        <v>95</v>
      </c>
      <c r="N75" s="49" t="s">
        <v>29</v>
      </c>
      <c r="O75" s="27"/>
    </row>
    <row r="76" spans="1:15" ht="15" customHeight="1" hidden="1">
      <c r="A76" s="49" t="s">
        <v>30</v>
      </c>
      <c r="B76" s="42"/>
      <c r="C76" s="37">
        <v>17.97</v>
      </c>
      <c r="D76" s="37"/>
      <c r="E76" s="37"/>
      <c r="F76" s="37">
        <v>25</v>
      </c>
      <c r="G76" s="37">
        <v>6.4</v>
      </c>
      <c r="H76" s="37">
        <v>8.33</v>
      </c>
      <c r="I76" s="37">
        <v>9.6</v>
      </c>
      <c r="J76" s="37">
        <v>10.8</v>
      </c>
      <c r="K76" s="37">
        <v>12</v>
      </c>
      <c r="L76" s="37">
        <v>12.4</v>
      </c>
      <c r="M76" s="37" t="s">
        <v>123</v>
      </c>
      <c r="N76" s="49" t="s">
        <v>86</v>
      </c>
      <c r="O76" s="27"/>
    </row>
    <row r="77" spans="1:15" ht="15" customHeight="1" hidden="1">
      <c r="A77" s="49" t="s">
        <v>86</v>
      </c>
      <c r="B77" s="42"/>
      <c r="C77" s="35">
        <f>AVERAGE(C74:C76)</f>
        <v>29.909999999999997</v>
      </c>
      <c r="D77" s="35"/>
      <c r="E77" s="35"/>
      <c r="F77" s="35">
        <f aca="true" t="shared" si="26" ref="F77:L77">AVERAGE(F74:F76)</f>
        <v>31.666666666666668</v>
      </c>
      <c r="G77" s="35">
        <f t="shared" si="26"/>
        <v>6.400000000000001</v>
      </c>
      <c r="H77" s="35">
        <f t="shared" si="26"/>
        <v>8.33</v>
      </c>
      <c r="I77" s="35">
        <f t="shared" si="26"/>
        <v>9.6</v>
      </c>
      <c r="J77" s="35">
        <f t="shared" si="26"/>
        <v>10.800000000000002</v>
      </c>
      <c r="K77" s="35">
        <f t="shared" si="26"/>
        <v>12</v>
      </c>
      <c r="L77" s="35">
        <f t="shared" si="26"/>
        <v>12.4</v>
      </c>
      <c r="M77" s="37" t="s">
        <v>123</v>
      </c>
      <c r="N77" s="49" t="s">
        <v>86</v>
      </c>
      <c r="O77" s="27"/>
    </row>
    <row r="78" spans="1:15" ht="15" customHeight="1" hidden="1">
      <c r="A78" s="49" t="s">
        <v>31</v>
      </c>
      <c r="B78" s="42"/>
      <c r="C78" s="37">
        <v>18.1</v>
      </c>
      <c r="D78" s="37"/>
      <c r="E78" s="37"/>
      <c r="F78" s="37">
        <v>20</v>
      </c>
      <c r="G78" s="37">
        <v>6.4</v>
      </c>
      <c r="H78" s="37">
        <v>8.33</v>
      </c>
      <c r="I78" s="37">
        <v>9.45</v>
      </c>
      <c r="J78" s="37">
        <v>10.65</v>
      </c>
      <c r="K78" s="37">
        <v>11.81</v>
      </c>
      <c r="L78" s="37">
        <v>12.25</v>
      </c>
      <c r="M78" s="37" t="s">
        <v>117</v>
      </c>
      <c r="N78" s="49" t="s">
        <v>31</v>
      </c>
      <c r="O78" s="27"/>
    </row>
    <row r="79" spans="1:15" ht="15" customHeight="1" hidden="1">
      <c r="A79" s="49" t="s">
        <v>32</v>
      </c>
      <c r="B79" s="42"/>
      <c r="C79" s="37">
        <v>18.44</v>
      </c>
      <c r="D79" s="37"/>
      <c r="E79" s="37"/>
      <c r="F79" s="37">
        <v>20</v>
      </c>
      <c r="G79" s="37">
        <v>6.4</v>
      </c>
      <c r="H79" s="37">
        <v>8.33</v>
      </c>
      <c r="I79" s="37">
        <v>9.2</v>
      </c>
      <c r="J79" s="37">
        <v>10.45</v>
      </c>
      <c r="K79" s="37">
        <v>11.75</v>
      </c>
      <c r="L79" s="37">
        <v>12</v>
      </c>
      <c r="M79" s="37" t="s">
        <v>124</v>
      </c>
      <c r="N79" s="49" t="s">
        <v>32</v>
      </c>
      <c r="O79" s="27"/>
    </row>
    <row r="80" spans="1:15" ht="15" customHeight="1" hidden="1">
      <c r="A80" s="49" t="s">
        <v>33</v>
      </c>
      <c r="B80" s="42"/>
      <c r="C80" s="37">
        <v>20.89</v>
      </c>
      <c r="D80" s="37"/>
      <c r="E80" s="37"/>
      <c r="F80" s="37">
        <v>25</v>
      </c>
      <c r="G80" s="37">
        <v>6.08</v>
      </c>
      <c r="H80" s="37">
        <v>8.33</v>
      </c>
      <c r="I80" s="37">
        <v>8.88</v>
      </c>
      <c r="J80" s="37">
        <v>10.08</v>
      </c>
      <c r="K80" s="37">
        <v>11.28</v>
      </c>
      <c r="L80" s="37">
        <v>11.6</v>
      </c>
      <c r="M80" s="37" t="s">
        <v>123</v>
      </c>
      <c r="N80" s="49" t="s">
        <v>87</v>
      </c>
      <c r="O80" s="27"/>
    </row>
    <row r="81" spans="1:15" ht="15" customHeight="1" hidden="1">
      <c r="A81" s="49" t="s">
        <v>87</v>
      </c>
      <c r="B81" s="42"/>
      <c r="C81" s="35">
        <f aca="true" t="shared" si="27" ref="C81:L81">AVERAGE(C78:C80)</f>
        <v>19.143333333333334</v>
      </c>
      <c r="D81" s="35"/>
      <c r="E81" s="35"/>
      <c r="F81" s="35">
        <f t="shared" si="27"/>
        <v>21.666666666666668</v>
      </c>
      <c r="G81" s="35">
        <f t="shared" si="27"/>
        <v>6.293333333333334</v>
      </c>
      <c r="H81" s="35">
        <f t="shared" si="27"/>
        <v>8.33</v>
      </c>
      <c r="I81" s="35">
        <f t="shared" si="27"/>
        <v>9.176666666666668</v>
      </c>
      <c r="J81" s="35">
        <f t="shared" si="27"/>
        <v>10.393333333333333</v>
      </c>
      <c r="K81" s="35">
        <f t="shared" si="27"/>
        <v>11.613333333333335</v>
      </c>
      <c r="L81" s="35">
        <f t="shared" si="27"/>
        <v>11.950000000000001</v>
      </c>
      <c r="M81" s="37" t="s">
        <v>123</v>
      </c>
      <c r="N81" s="49" t="s">
        <v>87</v>
      </c>
      <c r="O81" s="27"/>
    </row>
    <row r="82" spans="1:15" ht="15" customHeight="1" hidden="1">
      <c r="A82" s="49" t="s">
        <v>35</v>
      </c>
      <c r="B82" s="42"/>
      <c r="C82" s="37">
        <v>20.31</v>
      </c>
      <c r="D82" s="37"/>
      <c r="E82" s="37"/>
      <c r="F82" s="37">
        <v>25</v>
      </c>
      <c r="G82" s="37">
        <v>6</v>
      </c>
      <c r="H82" s="37">
        <v>8</v>
      </c>
      <c r="I82" s="37">
        <v>8.8</v>
      </c>
      <c r="J82" s="37">
        <v>10</v>
      </c>
      <c r="K82" s="37">
        <v>10.75</v>
      </c>
      <c r="L82" s="37">
        <v>11.5</v>
      </c>
      <c r="M82" s="37" t="s">
        <v>125</v>
      </c>
      <c r="N82" s="49" t="s">
        <v>35</v>
      </c>
      <c r="O82" s="27"/>
    </row>
    <row r="83" spans="1:15" ht="15" customHeight="1" hidden="1">
      <c r="A83" s="49" t="s">
        <v>36</v>
      </c>
      <c r="B83" s="42"/>
      <c r="C83" s="37">
        <v>20.93</v>
      </c>
      <c r="D83" s="37"/>
      <c r="E83" s="37"/>
      <c r="F83" s="37">
        <v>25</v>
      </c>
      <c r="G83" s="37">
        <v>6</v>
      </c>
      <c r="H83" s="37">
        <v>8</v>
      </c>
      <c r="I83" s="37">
        <v>8.8</v>
      </c>
      <c r="J83" s="37">
        <v>10</v>
      </c>
      <c r="K83" s="37">
        <v>10.75</v>
      </c>
      <c r="L83" s="37">
        <v>11.5</v>
      </c>
      <c r="M83" s="37" t="s">
        <v>125</v>
      </c>
      <c r="N83" s="49" t="s">
        <v>36</v>
      </c>
      <c r="O83" s="27"/>
    </row>
    <row r="84" spans="1:15" ht="15" customHeight="1" hidden="1">
      <c r="A84" s="49" t="s">
        <v>37</v>
      </c>
      <c r="B84" s="42"/>
      <c r="C84" s="37">
        <v>20.51</v>
      </c>
      <c r="D84" s="37"/>
      <c r="E84" s="37"/>
      <c r="F84" s="37">
        <v>22.5</v>
      </c>
      <c r="G84" s="37">
        <v>6</v>
      </c>
      <c r="H84" s="37">
        <v>8</v>
      </c>
      <c r="I84" s="37">
        <v>8.8</v>
      </c>
      <c r="J84" s="37">
        <v>10</v>
      </c>
      <c r="K84" s="37">
        <v>10.75</v>
      </c>
      <c r="L84" s="37">
        <v>11.5</v>
      </c>
      <c r="M84" s="37" t="s">
        <v>125</v>
      </c>
      <c r="N84" s="49" t="s">
        <v>88</v>
      </c>
      <c r="O84" s="27"/>
    </row>
    <row r="85" spans="1:15" ht="15" customHeight="1" hidden="1">
      <c r="A85" s="49" t="s">
        <v>88</v>
      </c>
      <c r="B85" s="42"/>
      <c r="C85" s="35">
        <f>AVERAGE(C82:C84)</f>
        <v>20.583333333333332</v>
      </c>
      <c r="D85" s="35"/>
      <c r="E85" s="35"/>
      <c r="F85" s="35">
        <f aca="true" t="shared" si="28" ref="F85:L85">AVERAGE(F82:F84)</f>
        <v>24.166666666666668</v>
      </c>
      <c r="G85" s="35">
        <f t="shared" si="28"/>
        <v>6</v>
      </c>
      <c r="H85" s="35">
        <f t="shared" si="28"/>
        <v>8</v>
      </c>
      <c r="I85" s="35">
        <f t="shared" si="28"/>
        <v>8.8</v>
      </c>
      <c r="J85" s="35">
        <f t="shared" si="28"/>
        <v>10</v>
      </c>
      <c r="K85" s="35">
        <f t="shared" si="28"/>
        <v>10.75</v>
      </c>
      <c r="L85" s="35">
        <f t="shared" si="28"/>
        <v>11.5</v>
      </c>
      <c r="M85" s="37" t="s">
        <v>125</v>
      </c>
      <c r="N85" s="49" t="s">
        <v>88</v>
      </c>
      <c r="O85" s="27"/>
    </row>
    <row r="86" ht="15" customHeight="1" hidden="1"/>
    <row r="87" ht="15" customHeight="1" hidden="1"/>
    <row r="88" spans="1:15" ht="15" customHeight="1" hidden="1">
      <c r="A88" s="50">
        <v>2001</v>
      </c>
      <c r="B88" s="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50">
        <v>2001</v>
      </c>
      <c r="O88" s="27"/>
    </row>
    <row r="89" spans="1:15" ht="17.25" customHeight="1" hidden="1">
      <c r="A89" s="60" t="s">
        <v>25</v>
      </c>
      <c r="C89" s="37">
        <v>15.07</v>
      </c>
      <c r="D89" s="37"/>
      <c r="E89" s="37"/>
      <c r="F89" s="37">
        <v>20</v>
      </c>
      <c r="G89" s="37">
        <v>6</v>
      </c>
      <c r="H89" s="37">
        <v>8</v>
      </c>
      <c r="I89" s="37">
        <v>8.8</v>
      </c>
      <c r="J89" s="37">
        <v>10</v>
      </c>
      <c r="K89" s="37">
        <v>10.54</v>
      </c>
      <c r="L89" s="37">
        <v>11.5</v>
      </c>
      <c r="M89" s="37" t="s">
        <v>129</v>
      </c>
      <c r="N89" s="50" t="s">
        <v>25</v>
      </c>
      <c r="O89" s="27"/>
    </row>
    <row r="90" spans="1:15" ht="15" customHeight="1" hidden="1">
      <c r="A90" s="60" t="s">
        <v>26</v>
      </c>
      <c r="C90" s="37">
        <v>8.63</v>
      </c>
      <c r="D90" s="37"/>
      <c r="E90" s="37"/>
      <c r="F90" s="37">
        <v>15</v>
      </c>
      <c r="G90" s="37">
        <v>5.05</v>
      </c>
      <c r="H90" s="37">
        <v>7.42</v>
      </c>
      <c r="I90" s="37">
        <v>7.95</v>
      </c>
      <c r="J90" s="37">
        <v>8.98</v>
      </c>
      <c r="K90" s="37">
        <v>8.88</v>
      </c>
      <c r="L90" s="37">
        <v>10.26</v>
      </c>
      <c r="M90" s="37" t="s">
        <v>130</v>
      </c>
      <c r="N90" s="50" t="s">
        <v>26</v>
      </c>
      <c r="O90" s="27"/>
    </row>
    <row r="91" spans="1:15" ht="15" customHeight="1" hidden="1">
      <c r="A91" s="60" t="s">
        <v>27</v>
      </c>
      <c r="C91" s="37">
        <v>9.68</v>
      </c>
      <c r="D91" s="37"/>
      <c r="E91" s="37"/>
      <c r="F91" s="37">
        <v>12.5</v>
      </c>
      <c r="G91" s="37">
        <v>4.5</v>
      </c>
      <c r="H91" s="37">
        <v>6.83</v>
      </c>
      <c r="I91" s="37">
        <v>7.5</v>
      </c>
      <c r="J91" s="37">
        <v>8.4</v>
      </c>
      <c r="K91" s="37">
        <v>8.25</v>
      </c>
      <c r="L91" s="37">
        <v>9.7</v>
      </c>
      <c r="M91" s="37" t="s">
        <v>131</v>
      </c>
      <c r="N91" s="50" t="s">
        <v>135</v>
      </c>
      <c r="O91" s="27"/>
    </row>
    <row r="92" spans="1:15" ht="15" customHeight="1" hidden="1">
      <c r="A92" s="49" t="s">
        <v>114</v>
      </c>
      <c r="B92" s="42"/>
      <c r="C92" s="35">
        <f>AVERAGE(C89:C91)</f>
        <v>11.126666666666667</v>
      </c>
      <c r="D92" s="35"/>
      <c r="E92" s="35"/>
      <c r="F92" s="35">
        <f aca="true" t="shared" si="29" ref="F92:L92">AVERAGE(F89:F91)</f>
        <v>15.833333333333334</v>
      </c>
      <c r="G92" s="35">
        <f t="shared" si="29"/>
        <v>5.183333333333334</v>
      </c>
      <c r="H92" s="35">
        <f t="shared" si="29"/>
        <v>7.416666666666667</v>
      </c>
      <c r="I92" s="35">
        <f t="shared" si="29"/>
        <v>8.083333333333334</v>
      </c>
      <c r="J92" s="35">
        <f t="shared" si="29"/>
        <v>9.126666666666667</v>
      </c>
      <c r="K92" s="35">
        <f t="shared" si="29"/>
        <v>9.223333333333334</v>
      </c>
      <c r="L92" s="35">
        <f t="shared" si="29"/>
        <v>10.486666666666666</v>
      </c>
      <c r="M92" s="37" t="s">
        <v>131</v>
      </c>
      <c r="N92" s="49" t="s">
        <v>114</v>
      </c>
      <c r="O92" s="27"/>
    </row>
    <row r="93" spans="1:15" ht="15" customHeight="1" hidden="1">
      <c r="A93" s="60" t="s">
        <v>28</v>
      </c>
      <c r="C93" s="37">
        <v>14.31</v>
      </c>
      <c r="D93" s="37"/>
      <c r="E93" s="37"/>
      <c r="F93" s="37">
        <v>15</v>
      </c>
      <c r="G93" s="37">
        <v>4.5</v>
      </c>
      <c r="H93" s="37">
        <v>6.83</v>
      </c>
      <c r="I93" s="37">
        <v>7.5</v>
      </c>
      <c r="J93" s="37">
        <v>8.4</v>
      </c>
      <c r="K93" s="37">
        <v>8.25</v>
      </c>
      <c r="L93" s="37">
        <v>9.7</v>
      </c>
      <c r="M93" s="37" t="s">
        <v>131</v>
      </c>
      <c r="N93" s="49" t="s">
        <v>28</v>
      </c>
      <c r="O93" s="27"/>
    </row>
    <row r="94" spans="1:15" ht="15" customHeight="1" hidden="1">
      <c r="A94" s="60" t="s">
        <v>29</v>
      </c>
      <c r="C94" s="37">
        <v>16.14</v>
      </c>
      <c r="D94" s="37"/>
      <c r="E94" s="37"/>
      <c r="F94" s="37">
        <v>15</v>
      </c>
      <c r="G94" s="37">
        <v>4.53</v>
      </c>
      <c r="H94" s="37">
        <v>6.83</v>
      </c>
      <c r="I94" s="37">
        <v>7.5</v>
      </c>
      <c r="J94" s="37">
        <v>8.4</v>
      </c>
      <c r="K94" s="37">
        <v>8.25</v>
      </c>
      <c r="L94" s="37">
        <v>9.7</v>
      </c>
      <c r="M94" s="37" t="s">
        <v>131</v>
      </c>
      <c r="N94" s="49" t="s">
        <v>29</v>
      </c>
      <c r="O94" s="27"/>
    </row>
    <row r="95" spans="1:15" ht="15" customHeight="1" hidden="1">
      <c r="A95" s="60" t="s">
        <v>30</v>
      </c>
      <c r="C95" s="37">
        <v>13.68</v>
      </c>
      <c r="D95" s="37"/>
      <c r="E95" s="37"/>
      <c r="F95" s="37">
        <v>17.5</v>
      </c>
      <c r="G95" s="37">
        <v>4.5</v>
      </c>
      <c r="H95" s="37">
        <v>6.83</v>
      </c>
      <c r="I95" s="37">
        <v>7.2</v>
      </c>
      <c r="J95" s="37">
        <v>8.1</v>
      </c>
      <c r="K95" s="37">
        <v>8</v>
      </c>
      <c r="L95" s="37">
        <v>9.5</v>
      </c>
      <c r="M95" s="37" t="s">
        <v>131</v>
      </c>
      <c r="N95" s="49" t="s">
        <v>86</v>
      </c>
      <c r="O95" s="27"/>
    </row>
    <row r="96" spans="1:15" ht="15" customHeight="1" hidden="1">
      <c r="A96" s="60" t="s">
        <v>86</v>
      </c>
      <c r="C96" s="35">
        <f>AVERAGE(C93:C95)</f>
        <v>14.71</v>
      </c>
      <c r="D96" s="35"/>
      <c r="E96" s="35"/>
      <c r="F96" s="35">
        <f aca="true" t="shared" si="30" ref="F96:L96">AVERAGE(F93:F95)</f>
        <v>15.833333333333334</v>
      </c>
      <c r="G96" s="35">
        <f t="shared" si="30"/>
        <v>4.510000000000001</v>
      </c>
      <c r="H96" s="35">
        <f t="shared" si="30"/>
        <v>6.830000000000001</v>
      </c>
      <c r="I96" s="35">
        <f t="shared" si="30"/>
        <v>7.3999999999999995</v>
      </c>
      <c r="J96" s="35">
        <f t="shared" si="30"/>
        <v>8.299999999999999</v>
      </c>
      <c r="K96" s="35">
        <f t="shared" si="30"/>
        <v>8.166666666666666</v>
      </c>
      <c r="L96" s="35">
        <f t="shared" si="30"/>
        <v>9.633333333333333</v>
      </c>
      <c r="M96" s="37" t="s">
        <v>131</v>
      </c>
      <c r="N96" s="49" t="s">
        <v>86</v>
      </c>
      <c r="O96" s="27"/>
    </row>
    <row r="97" spans="1:15" ht="15" customHeight="1" hidden="1">
      <c r="A97" s="60" t="s">
        <v>31</v>
      </c>
      <c r="C97" s="37">
        <v>14.95</v>
      </c>
      <c r="D97" s="37"/>
      <c r="E97" s="37"/>
      <c r="F97" s="37">
        <v>20</v>
      </c>
      <c r="G97" s="37">
        <v>4.5</v>
      </c>
      <c r="H97" s="37">
        <v>6.83</v>
      </c>
      <c r="I97" s="37">
        <v>7.2</v>
      </c>
      <c r="J97" s="37">
        <v>8.1</v>
      </c>
      <c r="K97" s="37">
        <v>8</v>
      </c>
      <c r="L97" s="37">
        <v>9.5</v>
      </c>
      <c r="M97" s="37" t="s">
        <v>132</v>
      </c>
      <c r="N97" s="49" t="s">
        <v>31</v>
      </c>
      <c r="O97" s="27"/>
    </row>
    <row r="98" spans="1:15" ht="15" customHeight="1" hidden="1">
      <c r="A98" s="60" t="s">
        <v>32</v>
      </c>
      <c r="C98" s="37">
        <v>14.25</v>
      </c>
      <c r="D98" s="37"/>
      <c r="E98" s="37"/>
      <c r="F98" s="37">
        <v>20</v>
      </c>
      <c r="G98" s="37">
        <v>4.5</v>
      </c>
      <c r="H98" s="37">
        <v>6.83</v>
      </c>
      <c r="I98" s="37">
        <v>7.2</v>
      </c>
      <c r="J98" s="37">
        <v>8.1</v>
      </c>
      <c r="K98" s="37">
        <v>8</v>
      </c>
      <c r="L98" s="37">
        <v>9.5</v>
      </c>
      <c r="M98" s="37" t="s">
        <v>131</v>
      </c>
      <c r="N98" s="49" t="s">
        <v>32</v>
      </c>
      <c r="O98" s="27"/>
    </row>
    <row r="99" spans="1:15" ht="15" customHeight="1" hidden="1">
      <c r="A99" s="60" t="s">
        <v>33</v>
      </c>
      <c r="C99" s="37">
        <v>14.16</v>
      </c>
      <c r="D99" s="37"/>
      <c r="E99" s="37"/>
      <c r="F99" s="37">
        <v>20</v>
      </c>
      <c r="G99" s="37">
        <v>4.5</v>
      </c>
      <c r="H99" s="37">
        <v>6.83</v>
      </c>
      <c r="I99" s="37">
        <v>7.2</v>
      </c>
      <c r="J99" s="37">
        <v>8.1</v>
      </c>
      <c r="K99" s="37">
        <v>8</v>
      </c>
      <c r="L99" s="37">
        <v>9.5</v>
      </c>
      <c r="M99" s="37" t="s">
        <v>133</v>
      </c>
      <c r="N99" s="49" t="s">
        <v>87</v>
      </c>
      <c r="O99" s="27"/>
    </row>
    <row r="100" spans="1:15" ht="15" customHeight="1" hidden="1">
      <c r="A100" s="60" t="s">
        <v>87</v>
      </c>
      <c r="C100" s="35">
        <f>AVERAGE(C97:C99)</f>
        <v>14.453333333333333</v>
      </c>
      <c r="D100" s="35"/>
      <c r="E100" s="35"/>
      <c r="F100" s="35">
        <f aca="true" t="shared" si="31" ref="F100:L100">AVERAGE(F97:F99)</f>
        <v>20</v>
      </c>
      <c r="G100" s="35">
        <f t="shared" si="31"/>
        <v>4.5</v>
      </c>
      <c r="H100" s="35">
        <f t="shared" si="31"/>
        <v>6.830000000000001</v>
      </c>
      <c r="I100" s="35">
        <f t="shared" si="31"/>
        <v>7.2</v>
      </c>
      <c r="J100" s="35">
        <f t="shared" si="31"/>
        <v>8.1</v>
      </c>
      <c r="K100" s="35">
        <f t="shared" si="31"/>
        <v>8</v>
      </c>
      <c r="L100" s="35">
        <f t="shared" si="31"/>
        <v>9.5</v>
      </c>
      <c r="M100" s="37" t="s">
        <v>133</v>
      </c>
      <c r="N100" s="49" t="s">
        <v>87</v>
      </c>
      <c r="O100" s="27"/>
    </row>
    <row r="101" spans="1:15" ht="15" customHeight="1" hidden="1">
      <c r="A101" s="60" t="s">
        <v>35</v>
      </c>
      <c r="C101" s="37">
        <v>14.51</v>
      </c>
      <c r="D101" s="37"/>
      <c r="E101" s="37"/>
      <c r="F101" s="37">
        <v>20</v>
      </c>
      <c r="G101" s="37" t="s">
        <v>155</v>
      </c>
      <c r="H101" s="37">
        <v>7.03</v>
      </c>
      <c r="I101" s="37">
        <v>7.83</v>
      </c>
      <c r="J101" s="37">
        <v>8.83</v>
      </c>
      <c r="K101" s="37">
        <v>9</v>
      </c>
      <c r="L101" s="37">
        <v>10.54</v>
      </c>
      <c r="M101" s="37" t="s">
        <v>132</v>
      </c>
      <c r="N101" s="49" t="s">
        <v>35</v>
      </c>
      <c r="O101" s="27"/>
    </row>
    <row r="102" spans="1:15" ht="15" customHeight="1" hidden="1">
      <c r="A102" s="60" t="s">
        <v>36</v>
      </c>
      <c r="C102" s="37">
        <v>14.99</v>
      </c>
      <c r="D102" s="37"/>
      <c r="E102" s="37"/>
      <c r="F102" s="37">
        <v>20</v>
      </c>
      <c r="G102" s="37">
        <v>5.1</v>
      </c>
      <c r="H102" s="37">
        <v>7.33</v>
      </c>
      <c r="I102" s="37">
        <v>8.1</v>
      </c>
      <c r="J102" s="37">
        <v>9.2</v>
      </c>
      <c r="K102" s="37">
        <v>9.5</v>
      </c>
      <c r="L102" s="37">
        <v>11.13</v>
      </c>
      <c r="M102" s="37" t="s">
        <v>134</v>
      </c>
      <c r="N102" s="49" t="s">
        <v>36</v>
      </c>
      <c r="O102" s="27"/>
    </row>
    <row r="103" spans="1:15" ht="15" customHeight="1" hidden="1">
      <c r="A103" s="60" t="s">
        <v>37</v>
      </c>
      <c r="C103" s="37">
        <v>14.73</v>
      </c>
      <c r="D103" s="37"/>
      <c r="E103" s="37"/>
      <c r="F103" s="37">
        <v>20</v>
      </c>
      <c r="G103" s="37">
        <v>5.1</v>
      </c>
      <c r="H103" s="37">
        <v>7.33</v>
      </c>
      <c r="I103" s="37">
        <v>8.1</v>
      </c>
      <c r="J103" s="37">
        <v>9.2</v>
      </c>
      <c r="K103" s="37">
        <v>9.5</v>
      </c>
      <c r="L103" s="37">
        <v>11.13</v>
      </c>
      <c r="M103" s="37" t="s">
        <v>134</v>
      </c>
      <c r="N103" s="49" t="s">
        <v>88</v>
      </c>
      <c r="O103" s="27"/>
    </row>
    <row r="104" spans="1:15" ht="15" customHeight="1" hidden="1">
      <c r="A104" s="49" t="s">
        <v>88</v>
      </c>
      <c r="B104" s="42"/>
      <c r="C104" s="35">
        <f>AVERAGE(C101:C103)</f>
        <v>14.743333333333334</v>
      </c>
      <c r="D104" s="35"/>
      <c r="E104" s="35"/>
      <c r="F104" s="35">
        <f aca="true" t="shared" si="32" ref="F104:L104">AVERAGE(F101:F103)</f>
        <v>20</v>
      </c>
      <c r="G104" s="35">
        <f t="shared" si="32"/>
        <v>5.1</v>
      </c>
      <c r="H104" s="35">
        <f t="shared" si="32"/>
        <v>7.2299999999999995</v>
      </c>
      <c r="I104" s="35">
        <f t="shared" si="32"/>
        <v>8.01</v>
      </c>
      <c r="J104" s="35">
        <f t="shared" si="32"/>
        <v>9.076666666666666</v>
      </c>
      <c r="K104" s="35">
        <f t="shared" si="32"/>
        <v>9.333333333333334</v>
      </c>
      <c r="L104" s="35">
        <f t="shared" si="32"/>
        <v>10.933333333333335</v>
      </c>
      <c r="M104" s="37" t="s">
        <v>134</v>
      </c>
      <c r="N104" s="49" t="s">
        <v>88</v>
      </c>
      <c r="O104" s="27"/>
    </row>
    <row r="105" spans="1:15" s="40" customFormat="1" ht="15" customHeight="1" hidden="1">
      <c r="A105" s="49"/>
      <c r="B105" s="325"/>
      <c r="C105" s="66"/>
      <c r="D105" s="37"/>
      <c r="E105" s="37"/>
      <c r="F105" s="37"/>
      <c r="G105" s="37"/>
      <c r="H105" s="37"/>
      <c r="I105" s="37"/>
      <c r="J105" s="37"/>
      <c r="K105" s="37"/>
      <c r="L105" s="37"/>
      <c r="M105" s="74"/>
      <c r="N105" s="69"/>
      <c r="O105" s="12"/>
    </row>
    <row r="106" spans="1:15" ht="15" customHeight="1" hidden="1">
      <c r="A106" s="50">
        <v>2002</v>
      </c>
      <c r="B106" s="6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50">
        <v>2002</v>
      </c>
      <c r="O106" s="27"/>
    </row>
    <row r="107" spans="1:15" ht="15" customHeight="1" hidden="1">
      <c r="A107" s="60" t="s">
        <v>25</v>
      </c>
      <c r="C107" s="37">
        <v>14.72</v>
      </c>
      <c r="D107" s="37"/>
      <c r="E107" s="37"/>
      <c r="F107" s="37">
        <v>19</v>
      </c>
      <c r="G107" s="37">
        <v>5.1</v>
      </c>
      <c r="H107" s="37">
        <v>7.33</v>
      </c>
      <c r="I107" s="37">
        <v>8.1</v>
      </c>
      <c r="J107" s="37">
        <v>9.2</v>
      </c>
      <c r="K107" s="37">
        <v>9.5</v>
      </c>
      <c r="L107" s="37">
        <v>11.13</v>
      </c>
      <c r="M107" s="37" t="s">
        <v>134</v>
      </c>
      <c r="N107" s="60" t="s">
        <v>25</v>
      </c>
      <c r="O107" s="27"/>
    </row>
    <row r="108" spans="1:15" ht="15" customHeight="1" hidden="1">
      <c r="A108" s="60" t="s">
        <v>26</v>
      </c>
      <c r="C108" s="37">
        <v>14.9</v>
      </c>
      <c r="D108" s="37"/>
      <c r="E108" s="37"/>
      <c r="F108" s="37">
        <v>20</v>
      </c>
      <c r="G108" s="37">
        <v>5.1</v>
      </c>
      <c r="H108" s="37">
        <v>7.33</v>
      </c>
      <c r="I108" s="37">
        <v>8.1</v>
      </c>
      <c r="J108" s="37">
        <v>9.2</v>
      </c>
      <c r="K108" s="37">
        <v>9.5</v>
      </c>
      <c r="L108" s="37">
        <v>11.13</v>
      </c>
      <c r="M108" s="37" t="s">
        <v>134</v>
      </c>
      <c r="N108" s="60" t="s">
        <v>26</v>
      </c>
      <c r="O108" s="27"/>
    </row>
    <row r="109" spans="1:15" ht="15" customHeight="1" hidden="1">
      <c r="A109" s="60" t="s">
        <v>27</v>
      </c>
      <c r="C109" s="37">
        <v>15.04</v>
      </c>
      <c r="D109" s="37"/>
      <c r="E109" s="37"/>
      <c r="F109" s="37">
        <v>20</v>
      </c>
      <c r="G109" s="37">
        <v>5.1</v>
      </c>
      <c r="H109" s="37">
        <v>7.33</v>
      </c>
      <c r="I109" s="37">
        <v>8.1</v>
      </c>
      <c r="J109" s="37">
        <v>9.2</v>
      </c>
      <c r="K109" s="37">
        <v>9.5</v>
      </c>
      <c r="L109" s="37">
        <v>11.13</v>
      </c>
      <c r="M109" s="37" t="s">
        <v>134</v>
      </c>
      <c r="N109" s="60" t="s">
        <v>27</v>
      </c>
      <c r="O109" s="27"/>
    </row>
    <row r="110" spans="1:15" ht="15" customHeight="1" hidden="1">
      <c r="A110" s="49" t="s">
        <v>114</v>
      </c>
      <c r="B110" s="42"/>
      <c r="C110" s="37">
        <f>AVERAGE(C107:C109)</f>
        <v>14.886666666666665</v>
      </c>
      <c r="D110" s="37"/>
      <c r="E110" s="37"/>
      <c r="F110" s="37">
        <f>AVERAGE(F107:F109)</f>
        <v>19.666666666666668</v>
      </c>
      <c r="G110" s="37">
        <f aca="true" t="shared" si="33" ref="G110:L110">AVERAGE(G107:G109)</f>
        <v>5.1</v>
      </c>
      <c r="H110" s="37">
        <f t="shared" si="33"/>
        <v>7.330000000000001</v>
      </c>
      <c r="I110" s="37">
        <f t="shared" si="33"/>
        <v>8.1</v>
      </c>
      <c r="J110" s="37">
        <f t="shared" si="33"/>
        <v>9.2</v>
      </c>
      <c r="K110" s="37">
        <f t="shared" si="33"/>
        <v>9.5</v>
      </c>
      <c r="L110" s="37">
        <f t="shared" si="33"/>
        <v>11.13</v>
      </c>
      <c r="M110" s="37" t="s">
        <v>134</v>
      </c>
      <c r="N110" s="49" t="s">
        <v>114</v>
      </c>
      <c r="O110" s="27"/>
    </row>
    <row r="111" spans="1:15" ht="15" customHeight="1" hidden="1">
      <c r="A111" s="60" t="s">
        <v>28</v>
      </c>
      <c r="C111" s="37">
        <v>15.15</v>
      </c>
      <c r="D111" s="37"/>
      <c r="E111" s="37"/>
      <c r="F111" s="37">
        <v>20</v>
      </c>
      <c r="G111" s="37">
        <v>5.1</v>
      </c>
      <c r="H111" s="37">
        <v>7.33</v>
      </c>
      <c r="I111" s="37">
        <v>8.1</v>
      </c>
      <c r="J111" s="37">
        <v>9.2</v>
      </c>
      <c r="K111" s="37">
        <v>9.5</v>
      </c>
      <c r="L111" s="37">
        <v>11.13</v>
      </c>
      <c r="M111" s="37" t="s">
        <v>134</v>
      </c>
      <c r="N111" s="60" t="s">
        <v>28</v>
      </c>
      <c r="O111" s="27"/>
    </row>
    <row r="112" spans="1:15" ht="15" customHeight="1" hidden="1">
      <c r="A112" s="60" t="s">
        <v>29</v>
      </c>
      <c r="C112" s="37">
        <v>15.35</v>
      </c>
      <c r="D112" s="37"/>
      <c r="E112" s="37"/>
      <c r="F112" s="37">
        <v>20</v>
      </c>
      <c r="G112" s="37">
        <v>5.1</v>
      </c>
      <c r="H112" s="37">
        <v>7.33</v>
      </c>
      <c r="I112" s="37">
        <v>8.1</v>
      </c>
      <c r="J112" s="37">
        <v>9.2</v>
      </c>
      <c r="K112" s="37">
        <v>9.5</v>
      </c>
      <c r="L112" s="37">
        <v>11.13</v>
      </c>
      <c r="M112" s="37" t="s">
        <v>134</v>
      </c>
      <c r="N112" s="60" t="s">
        <v>29</v>
      </c>
      <c r="O112" s="27"/>
    </row>
    <row r="113" spans="1:15" ht="15" customHeight="1" hidden="1">
      <c r="A113" s="60" t="s">
        <v>30</v>
      </c>
      <c r="C113" s="37">
        <v>15.29</v>
      </c>
      <c r="D113" s="37"/>
      <c r="E113" s="37"/>
      <c r="F113" s="37">
        <v>19</v>
      </c>
      <c r="G113" s="37">
        <v>5.1</v>
      </c>
      <c r="H113" s="37">
        <v>7.33</v>
      </c>
      <c r="I113" s="37">
        <v>8.1</v>
      </c>
      <c r="J113" s="37">
        <v>9.2</v>
      </c>
      <c r="K113" s="37">
        <v>9.5</v>
      </c>
      <c r="L113" s="37">
        <v>11.13</v>
      </c>
      <c r="M113" s="37" t="s">
        <v>134</v>
      </c>
      <c r="N113" s="60" t="s">
        <v>30</v>
      </c>
      <c r="O113" s="27"/>
    </row>
    <row r="114" spans="1:15" ht="15" customHeight="1" hidden="1">
      <c r="A114" s="60" t="s">
        <v>86</v>
      </c>
      <c r="C114" s="37">
        <f>AVERAGE(C111:C113)</f>
        <v>15.263333333333334</v>
      </c>
      <c r="D114" s="37"/>
      <c r="E114" s="37"/>
      <c r="F114" s="37">
        <f aca="true" t="shared" si="34" ref="F114:L114">AVERAGE(F111:F113)</f>
        <v>19.666666666666668</v>
      </c>
      <c r="G114" s="37">
        <f t="shared" si="34"/>
        <v>5.1</v>
      </c>
      <c r="H114" s="37">
        <f t="shared" si="34"/>
        <v>7.330000000000001</v>
      </c>
      <c r="I114" s="37">
        <f t="shared" si="34"/>
        <v>8.1</v>
      </c>
      <c r="J114" s="37">
        <f t="shared" si="34"/>
        <v>9.2</v>
      </c>
      <c r="K114" s="37">
        <f t="shared" si="34"/>
        <v>9.5</v>
      </c>
      <c r="L114" s="37">
        <f t="shared" si="34"/>
        <v>11.13</v>
      </c>
      <c r="M114" s="37" t="s">
        <v>134</v>
      </c>
      <c r="N114" s="60" t="s">
        <v>86</v>
      </c>
      <c r="O114" s="27"/>
    </row>
    <row r="115" spans="1:15" ht="15" customHeight="1" hidden="1">
      <c r="A115" s="60" t="s">
        <v>31</v>
      </c>
      <c r="C115" s="37">
        <v>15.34</v>
      </c>
      <c r="D115" s="37"/>
      <c r="E115" s="37"/>
      <c r="F115" s="37">
        <v>18</v>
      </c>
      <c r="G115" s="37">
        <v>5.1</v>
      </c>
      <c r="H115" s="37">
        <v>7.33</v>
      </c>
      <c r="I115" s="37">
        <v>8.1</v>
      </c>
      <c r="J115" s="37">
        <v>9.2</v>
      </c>
      <c r="K115" s="37">
        <v>9.5</v>
      </c>
      <c r="L115" s="37">
        <v>11.13</v>
      </c>
      <c r="M115" s="37" t="s">
        <v>134</v>
      </c>
      <c r="N115" s="60" t="s">
        <v>31</v>
      </c>
      <c r="O115" s="27"/>
    </row>
    <row r="116" spans="1:15" ht="15" customHeight="1" hidden="1">
      <c r="A116" s="60" t="s">
        <v>32</v>
      </c>
      <c r="C116" s="37">
        <v>15.21</v>
      </c>
      <c r="D116" s="37"/>
      <c r="E116" s="37"/>
      <c r="F116" s="37">
        <v>19</v>
      </c>
      <c r="G116" s="37">
        <v>5.26</v>
      </c>
      <c r="H116" s="37">
        <v>7.36</v>
      </c>
      <c r="I116" s="37">
        <v>8.16</v>
      </c>
      <c r="J116" s="37">
        <v>9.29</v>
      </c>
      <c r="K116" s="37">
        <v>9.5</v>
      </c>
      <c r="L116" s="37">
        <v>11.2</v>
      </c>
      <c r="M116" s="37" t="s">
        <v>151</v>
      </c>
      <c r="N116" s="60" t="s">
        <v>32</v>
      </c>
      <c r="O116" s="27"/>
    </row>
    <row r="117" spans="1:15" ht="15" customHeight="1" hidden="1">
      <c r="A117" s="60" t="s">
        <v>33</v>
      </c>
      <c r="C117" s="37">
        <v>15.23</v>
      </c>
      <c r="D117" s="37"/>
      <c r="E117" s="37"/>
      <c r="F117" s="37">
        <v>18</v>
      </c>
      <c r="G117" s="37">
        <v>5.5</v>
      </c>
      <c r="H117" s="37">
        <v>7.5</v>
      </c>
      <c r="I117" s="37">
        <v>8.42</v>
      </c>
      <c r="J117" s="37">
        <v>9.67</v>
      </c>
      <c r="K117" s="37">
        <v>9.5</v>
      </c>
      <c r="L117" s="37">
        <v>11.5</v>
      </c>
      <c r="M117" s="37" t="s">
        <v>147</v>
      </c>
      <c r="N117" s="60" t="s">
        <v>33</v>
      </c>
      <c r="O117" s="27"/>
    </row>
    <row r="118" spans="1:15" ht="15" customHeight="1" hidden="1">
      <c r="A118" s="60" t="s">
        <v>87</v>
      </c>
      <c r="C118" s="37">
        <f>AVERAGE(C115:C117)</f>
        <v>15.26</v>
      </c>
      <c r="D118" s="37"/>
      <c r="E118" s="37"/>
      <c r="F118" s="37">
        <f aca="true" t="shared" si="35" ref="F118:L118">AVERAGE(F115:F117)</f>
        <v>18.333333333333332</v>
      </c>
      <c r="G118" s="37">
        <f t="shared" si="35"/>
        <v>5.286666666666666</v>
      </c>
      <c r="H118" s="37">
        <f t="shared" si="35"/>
        <v>7.396666666666667</v>
      </c>
      <c r="I118" s="37">
        <f t="shared" si="35"/>
        <v>8.226666666666667</v>
      </c>
      <c r="J118" s="37">
        <f t="shared" si="35"/>
        <v>9.386666666666665</v>
      </c>
      <c r="K118" s="37">
        <f t="shared" si="35"/>
        <v>9.5</v>
      </c>
      <c r="L118" s="37">
        <f t="shared" si="35"/>
        <v>11.276666666666666</v>
      </c>
      <c r="M118" s="37" t="s">
        <v>151</v>
      </c>
      <c r="N118" s="60" t="s">
        <v>87</v>
      </c>
      <c r="O118" s="27"/>
    </row>
    <row r="119" spans="1:15" ht="15" customHeight="1" hidden="1">
      <c r="A119" s="60" t="s">
        <v>35</v>
      </c>
      <c r="C119" s="37">
        <v>15.31</v>
      </c>
      <c r="D119" s="37"/>
      <c r="E119" s="37"/>
      <c r="F119" s="37">
        <v>18</v>
      </c>
      <c r="G119" s="37">
        <v>5.5</v>
      </c>
      <c r="H119" s="37">
        <v>7.5</v>
      </c>
      <c r="I119" s="37">
        <v>8.42</v>
      </c>
      <c r="J119" s="37">
        <v>9.67</v>
      </c>
      <c r="K119" s="37">
        <v>9.5</v>
      </c>
      <c r="L119" s="37">
        <v>11.5</v>
      </c>
      <c r="M119" s="37" t="s">
        <v>145</v>
      </c>
      <c r="N119" s="60" t="s">
        <v>35</v>
      </c>
      <c r="O119" s="27"/>
    </row>
    <row r="120" spans="1:15" ht="15" customHeight="1" hidden="1">
      <c r="A120" s="60" t="s">
        <v>36</v>
      </c>
      <c r="C120" s="37">
        <v>15.29</v>
      </c>
      <c r="D120" s="37"/>
      <c r="E120" s="37"/>
      <c r="F120" s="37">
        <v>18</v>
      </c>
      <c r="G120" s="37">
        <v>5.5</v>
      </c>
      <c r="H120" s="37">
        <v>7.5</v>
      </c>
      <c r="I120" s="37">
        <v>8.42</v>
      </c>
      <c r="J120" s="37">
        <v>9.67</v>
      </c>
      <c r="K120" s="37">
        <v>9.5</v>
      </c>
      <c r="L120" s="37">
        <v>11.5</v>
      </c>
      <c r="M120" s="37" t="s">
        <v>140</v>
      </c>
      <c r="N120" s="60" t="s">
        <v>36</v>
      </c>
      <c r="O120" s="27"/>
    </row>
    <row r="121" spans="1:15" ht="15" customHeight="1" hidden="1">
      <c r="A121" s="60" t="s">
        <v>37</v>
      </c>
      <c r="C121" s="37">
        <v>14.99</v>
      </c>
      <c r="D121" s="37"/>
      <c r="E121" s="37"/>
      <c r="F121" s="37">
        <v>18</v>
      </c>
      <c r="G121" s="37">
        <v>5.5</v>
      </c>
      <c r="H121" s="37">
        <v>7.5</v>
      </c>
      <c r="I121" s="37">
        <v>8.42</v>
      </c>
      <c r="J121" s="37">
        <v>9.67</v>
      </c>
      <c r="K121" s="37">
        <v>9.5</v>
      </c>
      <c r="L121" s="37">
        <v>11.5</v>
      </c>
      <c r="M121" s="37" t="s">
        <v>140</v>
      </c>
      <c r="N121" s="60" t="s">
        <v>37</v>
      </c>
      <c r="O121" s="27"/>
    </row>
    <row r="122" spans="1:15" ht="15" customHeight="1" hidden="1">
      <c r="A122" s="49" t="s">
        <v>88</v>
      </c>
      <c r="B122" s="42"/>
      <c r="C122" s="37">
        <f>AVERAGE(C119:C121)</f>
        <v>15.196666666666667</v>
      </c>
      <c r="D122" s="37"/>
      <c r="E122" s="37"/>
      <c r="F122" s="37">
        <f aca="true" t="shared" si="36" ref="F122:L122">AVERAGE(F119:F121)</f>
        <v>18</v>
      </c>
      <c r="G122" s="37">
        <f t="shared" si="36"/>
        <v>5.5</v>
      </c>
      <c r="H122" s="37">
        <f t="shared" si="36"/>
        <v>7.5</v>
      </c>
      <c r="I122" s="37">
        <f t="shared" si="36"/>
        <v>8.42</v>
      </c>
      <c r="J122" s="37">
        <f t="shared" si="36"/>
        <v>9.67</v>
      </c>
      <c r="K122" s="37">
        <f t="shared" si="36"/>
        <v>9.5</v>
      </c>
      <c r="L122" s="37">
        <f t="shared" si="36"/>
        <v>11.5</v>
      </c>
      <c r="M122" s="37" t="s">
        <v>140</v>
      </c>
      <c r="N122" s="49" t="s">
        <v>88</v>
      </c>
      <c r="O122" s="27"/>
    </row>
    <row r="123" ht="15" customHeight="1" hidden="1"/>
    <row r="124" spans="1:15" ht="15" customHeight="1" hidden="1">
      <c r="A124" s="20">
        <v>2003</v>
      </c>
      <c r="B124" s="22"/>
      <c r="C124" s="37">
        <f aca="true" t="shared" si="37" ref="C124:C129">AVERAGE(C222,C226,C230,C234)</f>
        <v>14.886666666666665</v>
      </c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50">
        <v>2003</v>
      </c>
      <c r="O124" s="27"/>
    </row>
    <row r="125" spans="1:15" ht="15" customHeight="1" hidden="1">
      <c r="A125" s="20" t="s">
        <v>25</v>
      </c>
      <c r="B125" s="22"/>
      <c r="C125" s="37">
        <f t="shared" si="37"/>
        <v>14.056666666666667</v>
      </c>
      <c r="D125" s="37"/>
      <c r="E125" s="37"/>
      <c r="F125" s="37">
        <v>17</v>
      </c>
      <c r="G125" s="37">
        <v>5.5</v>
      </c>
      <c r="H125" s="37">
        <v>7.5</v>
      </c>
      <c r="I125" s="37">
        <v>8.42</v>
      </c>
      <c r="J125" s="37">
        <v>9.67</v>
      </c>
      <c r="K125" s="37">
        <v>9.5</v>
      </c>
      <c r="L125" s="37">
        <v>11.5</v>
      </c>
      <c r="M125" s="37" t="s">
        <v>140</v>
      </c>
      <c r="N125" s="60" t="s">
        <v>25</v>
      </c>
      <c r="O125" s="27"/>
    </row>
    <row r="126" spans="1:15" ht="15" customHeight="1" hidden="1">
      <c r="A126" s="20" t="s">
        <v>26</v>
      </c>
      <c r="B126" s="22"/>
      <c r="C126" s="37">
        <f t="shared" si="37"/>
        <v>12.920000000000002</v>
      </c>
      <c r="D126" s="37"/>
      <c r="E126" s="37"/>
      <c r="F126" s="37">
        <v>17</v>
      </c>
      <c r="G126" s="37">
        <v>5.5</v>
      </c>
      <c r="H126" s="37">
        <v>7.5</v>
      </c>
      <c r="I126" s="37">
        <v>8.42</v>
      </c>
      <c r="J126" s="37">
        <v>9.67</v>
      </c>
      <c r="K126" s="37">
        <v>9.5</v>
      </c>
      <c r="L126" s="37">
        <v>11.5</v>
      </c>
      <c r="M126" s="37" t="s">
        <v>140</v>
      </c>
      <c r="N126" s="60" t="s">
        <v>26</v>
      </c>
      <c r="O126" s="27"/>
    </row>
    <row r="127" spans="1:15" ht="15" customHeight="1" hidden="1">
      <c r="A127" s="20" t="s">
        <v>27</v>
      </c>
      <c r="B127" s="22"/>
      <c r="C127" s="37">
        <f t="shared" si="37"/>
        <v>12.803333333333333</v>
      </c>
      <c r="D127" s="37"/>
      <c r="E127" s="61"/>
      <c r="F127" s="61">
        <v>17</v>
      </c>
      <c r="G127" s="61">
        <v>5.5</v>
      </c>
      <c r="H127" s="61">
        <v>7.5</v>
      </c>
      <c r="I127" s="61">
        <v>8.42</v>
      </c>
      <c r="J127" s="61">
        <v>9.67</v>
      </c>
      <c r="K127" s="61">
        <v>9.5</v>
      </c>
      <c r="L127" s="61">
        <v>11.5</v>
      </c>
      <c r="M127" s="62" t="s">
        <v>140</v>
      </c>
      <c r="N127" s="60" t="s">
        <v>27</v>
      </c>
      <c r="O127" s="27"/>
    </row>
    <row r="128" spans="1:15" ht="15" customHeight="1" hidden="1">
      <c r="A128" s="20" t="s">
        <v>114</v>
      </c>
      <c r="B128" s="22"/>
      <c r="C128" s="37">
        <f t="shared" si="37"/>
        <v>11.956666666666669</v>
      </c>
      <c r="D128" s="37"/>
      <c r="E128" s="61"/>
      <c r="F128" s="61">
        <f aca="true" t="shared" si="38" ref="F128:L128">AVERAGE(F125:F127)</f>
        <v>17</v>
      </c>
      <c r="G128" s="61">
        <f t="shared" si="38"/>
        <v>5.5</v>
      </c>
      <c r="H128" s="61">
        <f t="shared" si="38"/>
        <v>7.5</v>
      </c>
      <c r="I128" s="61">
        <f t="shared" si="38"/>
        <v>8.42</v>
      </c>
      <c r="J128" s="61">
        <f t="shared" si="38"/>
        <v>9.67</v>
      </c>
      <c r="K128" s="61">
        <f t="shared" si="38"/>
        <v>9.5</v>
      </c>
      <c r="L128" s="61">
        <f t="shared" si="38"/>
        <v>11.5</v>
      </c>
      <c r="M128" s="62" t="s">
        <v>140</v>
      </c>
      <c r="N128" s="49" t="s">
        <v>114</v>
      </c>
      <c r="O128" s="27"/>
    </row>
    <row r="129" spans="1:15" ht="15" customHeight="1" hidden="1">
      <c r="A129" s="20" t="s">
        <v>28</v>
      </c>
      <c r="B129" s="22"/>
      <c r="C129" s="37">
        <f t="shared" si="37"/>
        <v>11.246666666666664</v>
      </c>
      <c r="D129" s="37"/>
      <c r="E129" s="61"/>
      <c r="F129" s="61">
        <v>16</v>
      </c>
      <c r="G129" s="61">
        <v>5.5</v>
      </c>
      <c r="H129" s="61">
        <v>7.5</v>
      </c>
      <c r="I129" s="61">
        <v>8.42</v>
      </c>
      <c r="J129" s="61">
        <v>9.67</v>
      </c>
      <c r="K129" s="61">
        <v>9.5</v>
      </c>
      <c r="L129" s="61">
        <v>11.5</v>
      </c>
      <c r="M129" s="62" t="s">
        <v>140</v>
      </c>
      <c r="N129" s="60" t="s">
        <v>28</v>
      </c>
      <c r="O129" s="27"/>
    </row>
    <row r="130" spans="1:15" ht="15" customHeight="1" hidden="1">
      <c r="A130" s="20" t="s">
        <v>29</v>
      </c>
      <c r="B130" s="22"/>
      <c r="C130" s="37">
        <f>AVERAGE(C228,C232,C236,C241)</f>
        <v>10.813333333333333</v>
      </c>
      <c r="D130" s="37"/>
      <c r="E130" s="61"/>
      <c r="F130" s="61">
        <v>15</v>
      </c>
      <c r="G130" s="61">
        <v>5.5</v>
      </c>
      <c r="H130" s="61">
        <v>7.5</v>
      </c>
      <c r="I130" s="61">
        <v>8.42</v>
      </c>
      <c r="J130" s="61">
        <v>9.67</v>
      </c>
      <c r="K130" s="61">
        <v>9.5</v>
      </c>
      <c r="L130" s="61">
        <v>11.5</v>
      </c>
      <c r="M130" s="62" t="s">
        <v>140</v>
      </c>
      <c r="N130" s="60" t="s">
        <v>29</v>
      </c>
      <c r="O130" s="27"/>
    </row>
    <row r="131" spans="1:16" ht="15" customHeight="1" hidden="1">
      <c r="A131" s="20" t="s">
        <v>30</v>
      </c>
      <c r="B131" s="22"/>
      <c r="C131" s="37">
        <f>AVERAGE(C229,C233,C237,C242)</f>
        <v>10.929583333333333</v>
      </c>
      <c r="D131" s="37"/>
      <c r="E131" s="61"/>
      <c r="F131" s="61">
        <v>15</v>
      </c>
      <c r="G131" s="61">
        <v>5.5</v>
      </c>
      <c r="H131" s="61">
        <v>7.5</v>
      </c>
      <c r="I131" s="61">
        <v>8.42</v>
      </c>
      <c r="J131" s="61">
        <v>9.67</v>
      </c>
      <c r="K131" s="61">
        <v>9.5</v>
      </c>
      <c r="L131" s="61">
        <v>11.5</v>
      </c>
      <c r="M131" s="62" t="s">
        <v>140</v>
      </c>
      <c r="N131" s="60" t="s">
        <v>30</v>
      </c>
      <c r="O131" s="27"/>
      <c r="P131" s="40"/>
    </row>
    <row r="132" spans="1:16" ht="15" customHeight="1" hidden="1">
      <c r="A132" s="20" t="s">
        <v>86</v>
      </c>
      <c r="B132" s="22"/>
      <c r="C132" s="37">
        <f>AVERAGE(C230,C234,C238,C243)</f>
        <v>10.256666666666668</v>
      </c>
      <c r="D132" s="37"/>
      <c r="E132" s="61"/>
      <c r="F132" s="61">
        <f aca="true" t="shared" si="39" ref="F132:L132">AVERAGE(F129:F131)</f>
        <v>15.333333333333334</v>
      </c>
      <c r="G132" s="61">
        <f t="shared" si="39"/>
        <v>5.5</v>
      </c>
      <c r="H132" s="61">
        <f t="shared" si="39"/>
        <v>7.5</v>
      </c>
      <c r="I132" s="61">
        <f t="shared" si="39"/>
        <v>8.42</v>
      </c>
      <c r="J132" s="61">
        <f t="shared" si="39"/>
        <v>9.67</v>
      </c>
      <c r="K132" s="61">
        <f t="shared" si="39"/>
        <v>9.5</v>
      </c>
      <c r="L132" s="61">
        <f t="shared" si="39"/>
        <v>11.5</v>
      </c>
      <c r="M132" s="62" t="s">
        <v>140</v>
      </c>
      <c r="N132" s="60" t="s">
        <v>86</v>
      </c>
      <c r="O132" s="27"/>
      <c r="P132" s="40"/>
    </row>
    <row r="133" spans="1:14" ht="15" customHeight="1" hidden="1">
      <c r="A133" s="20" t="s">
        <v>31</v>
      </c>
      <c r="B133" s="22"/>
      <c r="C133" s="37">
        <f>AVERAGE(C231,C235,C239,C245)</f>
        <v>9.581333333333333</v>
      </c>
      <c r="D133" s="37"/>
      <c r="E133" s="61"/>
      <c r="F133" s="61">
        <v>15</v>
      </c>
      <c r="G133" s="61">
        <v>5.5</v>
      </c>
      <c r="H133" s="61">
        <v>7.5</v>
      </c>
      <c r="I133" s="61">
        <v>8.42</v>
      </c>
      <c r="J133" s="61">
        <v>9.67</v>
      </c>
      <c r="K133" s="61">
        <v>9.5</v>
      </c>
      <c r="L133" s="61">
        <v>11.5</v>
      </c>
      <c r="M133" s="61" t="s">
        <v>140</v>
      </c>
      <c r="N133" s="60" t="s">
        <v>31</v>
      </c>
    </row>
    <row r="134" spans="1:14" ht="15" customHeight="1" hidden="1">
      <c r="A134" s="20" t="s">
        <v>32</v>
      </c>
      <c r="B134" s="22"/>
      <c r="C134" s="37">
        <f>AVERAGE(C232,C236,C241,C246)</f>
        <v>9.44</v>
      </c>
      <c r="D134" s="37"/>
      <c r="E134" s="61"/>
      <c r="F134" s="61">
        <v>15</v>
      </c>
      <c r="G134" s="61">
        <v>5.5</v>
      </c>
      <c r="H134" s="61">
        <v>7.5</v>
      </c>
      <c r="I134" s="61">
        <v>8.42</v>
      </c>
      <c r="J134" s="61">
        <v>9.67</v>
      </c>
      <c r="K134" s="61">
        <v>9.5</v>
      </c>
      <c r="L134" s="61">
        <v>11.5</v>
      </c>
      <c r="M134" s="61" t="s">
        <v>140</v>
      </c>
      <c r="N134" s="60" t="s">
        <v>32</v>
      </c>
    </row>
    <row r="135" spans="1:14" ht="15" customHeight="1" hidden="1">
      <c r="A135" s="20" t="s">
        <v>33</v>
      </c>
      <c r="B135" s="22"/>
      <c r="C135" s="37">
        <f>AVERAGE(C233,C237,C242,C247)</f>
        <v>10.009583333333333</v>
      </c>
      <c r="D135" s="37"/>
      <c r="E135" s="61"/>
      <c r="F135" s="61">
        <v>15</v>
      </c>
      <c r="G135" s="61">
        <v>5.5</v>
      </c>
      <c r="H135" s="61">
        <v>7.5</v>
      </c>
      <c r="I135" s="61">
        <v>8.42</v>
      </c>
      <c r="J135" s="61">
        <v>9.67</v>
      </c>
      <c r="K135" s="61">
        <v>9.5</v>
      </c>
      <c r="L135" s="61">
        <v>11.5</v>
      </c>
      <c r="M135" s="61" t="s">
        <v>140</v>
      </c>
      <c r="N135" s="60" t="s">
        <v>33</v>
      </c>
    </row>
    <row r="136" spans="1:14" ht="15" customHeight="1" hidden="1">
      <c r="A136" s="20" t="s">
        <v>87</v>
      </c>
      <c r="B136" s="22"/>
      <c r="C136" s="37">
        <f>AVERAGE(C234,C238,C243,C249)</f>
        <v>10.33</v>
      </c>
      <c r="D136" s="37"/>
      <c r="E136" s="61"/>
      <c r="F136" s="61">
        <f aca="true" t="shared" si="40" ref="F136:L136">AVERAGE(F133:F135)</f>
        <v>15</v>
      </c>
      <c r="G136" s="61">
        <f t="shared" si="40"/>
        <v>5.5</v>
      </c>
      <c r="H136" s="61">
        <f t="shared" si="40"/>
        <v>7.5</v>
      </c>
      <c r="I136" s="61">
        <f t="shared" si="40"/>
        <v>8.42</v>
      </c>
      <c r="J136" s="61">
        <f t="shared" si="40"/>
        <v>9.67</v>
      </c>
      <c r="K136" s="61">
        <f t="shared" si="40"/>
        <v>9.5</v>
      </c>
      <c r="L136" s="61">
        <f t="shared" si="40"/>
        <v>11.5</v>
      </c>
      <c r="M136" s="61" t="s">
        <v>140</v>
      </c>
      <c r="N136" s="60" t="s">
        <v>87</v>
      </c>
    </row>
    <row r="137" spans="1:14" ht="15" customHeight="1" hidden="1">
      <c r="A137" s="20" t="s">
        <v>35</v>
      </c>
      <c r="B137" s="22"/>
      <c r="C137" s="37">
        <f>AVERAGE(C235,C239,C245,C250)</f>
        <v>10.528</v>
      </c>
      <c r="D137" s="37"/>
      <c r="E137" s="61"/>
      <c r="F137" s="61">
        <v>17</v>
      </c>
      <c r="G137" s="61">
        <v>5.5</v>
      </c>
      <c r="H137" s="61">
        <v>7.5</v>
      </c>
      <c r="I137" s="61">
        <v>8.42</v>
      </c>
      <c r="J137" s="61">
        <v>9.67</v>
      </c>
      <c r="K137" s="61">
        <v>9.5</v>
      </c>
      <c r="L137" s="61">
        <v>11.5</v>
      </c>
      <c r="M137" s="61" t="s">
        <v>140</v>
      </c>
      <c r="N137" s="60" t="s">
        <v>35</v>
      </c>
    </row>
    <row r="138" spans="1:14" ht="15" customHeight="1" hidden="1">
      <c r="A138" s="20" t="s">
        <v>36</v>
      </c>
      <c r="B138" s="22"/>
      <c r="C138" s="37">
        <f>AVERAGE(C236,C241,C246,C251)</f>
        <v>11.083333333333334</v>
      </c>
      <c r="D138" s="37"/>
      <c r="E138" s="61"/>
      <c r="F138" s="61">
        <v>16</v>
      </c>
      <c r="G138" s="61">
        <v>5.5</v>
      </c>
      <c r="H138" s="61">
        <v>7.5</v>
      </c>
      <c r="I138" s="61">
        <v>8.42</v>
      </c>
      <c r="J138" s="61">
        <v>9.67</v>
      </c>
      <c r="K138" s="61">
        <v>9.5</v>
      </c>
      <c r="L138" s="61">
        <v>11.5</v>
      </c>
      <c r="M138" s="61" t="s">
        <v>140</v>
      </c>
      <c r="N138" s="60" t="s">
        <v>36</v>
      </c>
    </row>
    <row r="139" spans="1:14" ht="15" customHeight="1" hidden="1">
      <c r="A139" s="20" t="s">
        <v>37</v>
      </c>
      <c r="B139" s="22"/>
      <c r="C139" s="37">
        <f>AVERAGE(C237,C242,C247,C253)</f>
        <v>9.938333333333333</v>
      </c>
      <c r="D139" s="37"/>
      <c r="E139" s="61"/>
      <c r="F139" s="61">
        <v>17</v>
      </c>
      <c r="G139" s="61">
        <v>5.5</v>
      </c>
      <c r="H139" s="61">
        <v>7.5</v>
      </c>
      <c r="I139" s="61">
        <v>8.42</v>
      </c>
      <c r="J139" s="61">
        <v>9.67</v>
      </c>
      <c r="K139" s="61">
        <v>9.5</v>
      </c>
      <c r="L139" s="61">
        <v>11.5</v>
      </c>
      <c r="M139" s="61" t="s">
        <v>145</v>
      </c>
      <c r="N139" s="60" t="s">
        <v>37</v>
      </c>
    </row>
    <row r="140" spans="1:14" ht="15" customHeight="1" hidden="1">
      <c r="A140" s="20" t="s">
        <v>88</v>
      </c>
      <c r="B140" s="22"/>
      <c r="C140" s="37">
        <f>AVERAGE(C238,C243,C249,C254)</f>
        <v>10.33</v>
      </c>
      <c r="D140" s="37"/>
      <c r="E140" s="61"/>
      <c r="F140" s="61">
        <f aca="true" t="shared" si="41" ref="F140:L140">AVERAGE(F137:F139)</f>
        <v>16.666666666666668</v>
      </c>
      <c r="G140" s="61">
        <f t="shared" si="41"/>
        <v>5.5</v>
      </c>
      <c r="H140" s="61">
        <f t="shared" si="41"/>
        <v>7.5</v>
      </c>
      <c r="I140" s="61">
        <f t="shared" si="41"/>
        <v>8.42</v>
      </c>
      <c r="J140" s="61">
        <f t="shared" si="41"/>
        <v>9.67</v>
      </c>
      <c r="K140" s="61">
        <f t="shared" si="41"/>
        <v>9.5</v>
      </c>
      <c r="L140" s="61">
        <f t="shared" si="41"/>
        <v>11.5</v>
      </c>
      <c r="M140" s="61" t="s">
        <v>140</v>
      </c>
      <c r="N140" s="49" t="s">
        <v>88</v>
      </c>
    </row>
    <row r="141" spans="1:14" ht="15" customHeight="1" hidden="1">
      <c r="A141" s="20"/>
      <c r="B141" s="22"/>
      <c r="C141" s="37">
        <f>AVERAGE(C239,C245,C250,C255)</f>
        <v>11.576</v>
      </c>
      <c r="D141" s="37"/>
      <c r="E141" s="61"/>
      <c r="F141" s="61"/>
      <c r="G141" s="61"/>
      <c r="H141" s="61"/>
      <c r="I141" s="61"/>
      <c r="J141" s="61"/>
      <c r="K141" s="61"/>
      <c r="L141" s="61"/>
      <c r="M141" s="61"/>
      <c r="N141" s="60"/>
    </row>
    <row r="142" spans="1:14" ht="15" customHeight="1" hidden="1">
      <c r="A142" s="20">
        <v>2004</v>
      </c>
      <c r="B142" s="22"/>
      <c r="C142" s="37">
        <f>AVERAGE(C241,C246,C251,C256)</f>
        <v>12.18</v>
      </c>
      <c r="D142" s="37"/>
      <c r="E142" s="61"/>
      <c r="F142" s="61"/>
      <c r="G142" s="61"/>
      <c r="H142" s="61"/>
      <c r="I142" s="61"/>
      <c r="J142" s="61"/>
      <c r="K142" s="61"/>
      <c r="L142" s="61"/>
      <c r="M142" s="61"/>
      <c r="N142" s="50">
        <v>2004</v>
      </c>
    </row>
    <row r="143" spans="1:14" ht="15" customHeight="1" hidden="1">
      <c r="A143" s="20" t="s">
        <v>25</v>
      </c>
      <c r="B143" s="22"/>
      <c r="C143" s="37">
        <f>AVERAGE(C242,C247,C253,C257)</f>
        <v>11.671666666666667</v>
      </c>
      <c r="D143" s="37"/>
      <c r="E143" s="61"/>
      <c r="F143" s="61">
        <v>18</v>
      </c>
      <c r="G143" s="61">
        <v>5.7</v>
      </c>
      <c r="H143" s="61">
        <v>7.5</v>
      </c>
      <c r="I143" s="61">
        <v>8.62</v>
      </c>
      <c r="J143" s="61">
        <v>9.87</v>
      </c>
      <c r="K143" s="61">
        <v>9.8</v>
      </c>
      <c r="L143" s="61">
        <v>11.74</v>
      </c>
      <c r="M143" s="61" t="s">
        <v>145</v>
      </c>
      <c r="N143" s="60" t="s">
        <v>25</v>
      </c>
    </row>
    <row r="144" spans="1:14" ht="15" customHeight="1" hidden="1">
      <c r="A144" s="20" t="s">
        <v>26</v>
      </c>
      <c r="B144" s="22"/>
      <c r="C144" s="37">
        <f>AVERAGE(C243,C249,C254,C259)</f>
        <v>12.196666666666667</v>
      </c>
      <c r="D144" s="37"/>
      <c r="E144" s="61"/>
      <c r="F144" s="61">
        <v>20</v>
      </c>
      <c r="G144" s="61">
        <v>6</v>
      </c>
      <c r="H144" s="61">
        <v>7.5</v>
      </c>
      <c r="I144" s="61">
        <v>8.92</v>
      </c>
      <c r="J144" s="61">
        <v>10.17</v>
      </c>
      <c r="K144" s="61">
        <v>10.25</v>
      </c>
      <c r="L144" s="61">
        <v>12.1</v>
      </c>
      <c r="M144" s="61" t="s">
        <v>145</v>
      </c>
      <c r="N144" s="60" t="s">
        <v>26</v>
      </c>
    </row>
    <row r="145" spans="1:14" ht="17.25" customHeight="1" hidden="1">
      <c r="A145" s="20" t="s">
        <v>27</v>
      </c>
      <c r="B145" s="22"/>
      <c r="C145" s="37">
        <f>AVERAGE(C245,C250,C255,C260)</f>
        <v>12.916</v>
      </c>
      <c r="D145" s="37"/>
      <c r="E145" s="61"/>
      <c r="F145" s="61">
        <v>25</v>
      </c>
      <c r="G145" s="61">
        <v>6.37</v>
      </c>
      <c r="H145" s="61">
        <v>7.5</v>
      </c>
      <c r="I145" s="61">
        <v>9.17</v>
      </c>
      <c r="J145" s="61">
        <v>10.43</v>
      </c>
      <c r="K145" s="61">
        <v>10.63</v>
      </c>
      <c r="L145" s="61">
        <v>12.4</v>
      </c>
      <c r="M145" s="61" t="s">
        <v>145</v>
      </c>
      <c r="N145" s="60" t="s">
        <v>27</v>
      </c>
    </row>
    <row r="146" spans="1:14" ht="15" customHeight="1" hidden="1">
      <c r="A146" s="20" t="s">
        <v>114</v>
      </c>
      <c r="B146" s="22"/>
      <c r="C146" s="37">
        <f>AVERAGE(C246,C251,C256,C261)</f>
        <v>13.58</v>
      </c>
      <c r="D146" s="37"/>
      <c r="E146" s="61"/>
      <c r="F146" s="61">
        <f aca="true" t="shared" si="42" ref="F146:L146">AVERAGE(F143:F145)</f>
        <v>21</v>
      </c>
      <c r="G146" s="61">
        <f t="shared" si="42"/>
        <v>6.023333333333333</v>
      </c>
      <c r="H146" s="61">
        <f t="shared" si="42"/>
        <v>7.5</v>
      </c>
      <c r="I146" s="61">
        <f t="shared" si="42"/>
        <v>8.903333333333334</v>
      </c>
      <c r="J146" s="61">
        <f t="shared" si="42"/>
        <v>10.156666666666666</v>
      </c>
      <c r="K146" s="61">
        <f t="shared" si="42"/>
        <v>10.226666666666667</v>
      </c>
      <c r="L146" s="61">
        <f t="shared" si="42"/>
        <v>12.08</v>
      </c>
      <c r="M146" s="61" t="s">
        <v>145</v>
      </c>
      <c r="N146" s="49" t="s">
        <v>114</v>
      </c>
    </row>
    <row r="147" spans="1:14" ht="15" customHeight="1" hidden="1">
      <c r="A147" s="20" t="s">
        <v>28</v>
      </c>
      <c r="B147" s="22"/>
      <c r="C147" s="37">
        <f>AVERAGE(C247,C253,C257,C263)</f>
        <v>13.883333333333335</v>
      </c>
      <c r="D147" s="37"/>
      <c r="E147" s="61"/>
      <c r="F147" s="61">
        <v>24</v>
      </c>
      <c r="G147" s="61">
        <v>7.17</v>
      </c>
      <c r="H147" s="61">
        <v>8.5</v>
      </c>
      <c r="I147" s="61">
        <v>9.92</v>
      </c>
      <c r="J147" s="61">
        <v>11.08</v>
      </c>
      <c r="K147" s="61">
        <v>11.75</v>
      </c>
      <c r="L147" s="61">
        <v>13.3</v>
      </c>
      <c r="M147" s="61" t="s">
        <v>146</v>
      </c>
      <c r="N147" s="60" t="s">
        <v>28</v>
      </c>
    </row>
    <row r="148" spans="1:14" ht="15" customHeight="1" hidden="1">
      <c r="A148" s="20" t="s">
        <v>29</v>
      </c>
      <c r="B148" s="22"/>
      <c r="C148" s="37">
        <f>AVERAGE(C249,C254,C259,C264)</f>
        <v>14.616666666666667</v>
      </c>
      <c r="D148" s="37"/>
      <c r="E148" s="61"/>
      <c r="F148" s="61">
        <v>25</v>
      </c>
      <c r="G148" s="61">
        <v>7.5</v>
      </c>
      <c r="H148" s="61">
        <v>8.5</v>
      </c>
      <c r="I148" s="61">
        <v>10.34</v>
      </c>
      <c r="J148" s="61">
        <v>11.37</v>
      </c>
      <c r="K148" s="61">
        <v>12.19</v>
      </c>
      <c r="L148" s="61">
        <v>13.3</v>
      </c>
      <c r="M148" s="61" t="s">
        <v>147</v>
      </c>
      <c r="N148" s="60" t="s">
        <v>29</v>
      </c>
    </row>
    <row r="149" spans="1:14" ht="15" customHeight="1" hidden="1">
      <c r="A149" s="20" t="s">
        <v>30</v>
      </c>
      <c r="B149" s="22"/>
      <c r="C149" s="37">
        <f>AVERAGE(C250,C255,C260,C265)</f>
        <v>15.065</v>
      </c>
      <c r="D149" s="37"/>
      <c r="E149" s="61"/>
      <c r="F149" s="61">
        <v>25</v>
      </c>
      <c r="G149" s="61">
        <v>7.83</v>
      </c>
      <c r="H149" s="61">
        <v>8.5</v>
      </c>
      <c r="I149" s="61">
        <v>10.69</v>
      </c>
      <c r="J149" s="61">
        <v>11.6</v>
      </c>
      <c r="K149" s="61">
        <v>12.63</v>
      </c>
      <c r="L149" s="61">
        <v>13.3</v>
      </c>
      <c r="M149" s="61" t="s">
        <v>148</v>
      </c>
      <c r="N149" s="60" t="s">
        <v>30</v>
      </c>
    </row>
    <row r="150" spans="1:14" ht="15" customHeight="1" hidden="1">
      <c r="A150" s="20" t="s">
        <v>86</v>
      </c>
      <c r="B150" s="22"/>
      <c r="C150" s="37">
        <f>AVERAGE(C251,C256,C261,C267)</f>
        <v>16.05625</v>
      </c>
      <c r="D150" s="37"/>
      <c r="E150" s="61"/>
      <c r="F150" s="61">
        <f aca="true" t="shared" si="43" ref="F150:L150">AVERAGE(F147:F149)</f>
        <v>24.666666666666668</v>
      </c>
      <c r="G150" s="61">
        <f t="shared" si="43"/>
        <v>7.5</v>
      </c>
      <c r="H150" s="61">
        <f t="shared" si="43"/>
        <v>8.5</v>
      </c>
      <c r="I150" s="61">
        <f t="shared" si="43"/>
        <v>10.316666666666665</v>
      </c>
      <c r="J150" s="61">
        <f t="shared" si="43"/>
        <v>11.35</v>
      </c>
      <c r="K150" s="61">
        <f t="shared" si="43"/>
        <v>12.19</v>
      </c>
      <c r="L150" s="61">
        <f t="shared" si="43"/>
        <v>13.300000000000002</v>
      </c>
      <c r="M150" s="61" t="s">
        <v>147</v>
      </c>
      <c r="N150" s="60" t="s">
        <v>86</v>
      </c>
    </row>
    <row r="151" spans="1:14" ht="15" customHeight="1" hidden="1">
      <c r="A151" s="20" t="s">
        <v>31</v>
      </c>
      <c r="B151" s="22"/>
      <c r="C151" s="37">
        <f>AVERAGE(C253,C257,C263,C268)</f>
        <v>17.44666666666667</v>
      </c>
      <c r="D151" s="37"/>
      <c r="E151" s="61"/>
      <c r="F151" s="61">
        <v>25</v>
      </c>
      <c r="G151" s="61">
        <v>7.83</v>
      </c>
      <c r="H151" s="61">
        <v>8.5</v>
      </c>
      <c r="I151" s="61">
        <v>10.67</v>
      </c>
      <c r="J151" s="61">
        <v>11.58</v>
      </c>
      <c r="K151" s="61">
        <v>12.63</v>
      </c>
      <c r="L151" s="61">
        <v>13.3</v>
      </c>
      <c r="M151" s="61" t="s">
        <v>148</v>
      </c>
      <c r="N151" s="60" t="s">
        <v>31</v>
      </c>
    </row>
    <row r="152" spans="1:14" ht="14.25" customHeight="1" hidden="1">
      <c r="A152" s="20" t="s">
        <v>32</v>
      </c>
      <c r="B152" s="22"/>
      <c r="C152" s="37">
        <f>AVERAGE(C254,C259,C264,C269)</f>
        <v>18.836666666666666</v>
      </c>
      <c r="D152" s="37"/>
      <c r="E152" s="70"/>
      <c r="F152" s="61">
        <v>25</v>
      </c>
      <c r="G152" s="61">
        <v>7.83</v>
      </c>
      <c r="H152" s="61">
        <v>8.5</v>
      </c>
      <c r="I152" s="70">
        <v>10.67</v>
      </c>
      <c r="J152" s="70">
        <v>11.58</v>
      </c>
      <c r="K152" s="61">
        <v>12.63</v>
      </c>
      <c r="L152" s="61">
        <v>13.3</v>
      </c>
      <c r="M152" s="70" t="s">
        <v>149</v>
      </c>
      <c r="N152" s="60" t="s">
        <v>32</v>
      </c>
    </row>
    <row r="153" spans="1:14" ht="14.25" customHeight="1" hidden="1">
      <c r="A153" s="20" t="s">
        <v>33</v>
      </c>
      <c r="B153" s="22"/>
      <c r="C153" s="37">
        <f>AVERAGE(C255,C260,C265,C270)</f>
        <v>17.34541666666667</v>
      </c>
      <c r="D153" s="37"/>
      <c r="E153" s="70"/>
      <c r="F153" s="70">
        <v>24.5</v>
      </c>
      <c r="G153" s="61">
        <v>7.83</v>
      </c>
      <c r="H153" s="61">
        <v>8.5</v>
      </c>
      <c r="I153" s="70">
        <v>10.61</v>
      </c>
      <c r="J153" s="70">
        <v>11.58</v>
      </c>
      <c r="K153" s="61">
        <v>12.63</v>
      </c>
      <c r="L153" s="61">
        <v>13.3</v>
      </c>
      <c r="M153" s="70" t="s">
        <v>149</v>
      </c>
      <c r="N153" s="60" t="s">
        <v>33</v>
      </c>
    </row>
    <row r="154" spans="1:14" ht="15" customHeight="1" hidden="1">
      <c r="A154" s="20" t="s">
        <v>87</v>
      </c>
      <c r="B154" s="22"/>
      <c r="C154" s="37">
        <f>AVERAGE(C256,C261,C267,C271)</f>
        <v>16.745</v>
      </c>
      <c r="D154" s="37"/>
      <c r="E154" s="70"/>
      <c r="F154" s="70">
        <f aca="true" t="shared" si="44" ref="F154:L154">AVERAGE(F151:F153)</f>
        <v>24.833333333333332</v>
      </c>
      <c r="G154" s="70">
        <f t="shared" si="44"/>
        <v>7.830000000000001</v>
      </c>
      <c r="H154" s="70">
        <f t="shared" si="44"/>
        <v>8.5</v>
      </c>
      <c r="I154" s="70">
        <f t="shared" si="44"/>
        <v>10.65</v>
      </c>
      <c r="J154" s="70">
        <f t="shared" si="44"/>
        <v>11.58</v>
      </c>
      <c r="K154" s="70">
        <f t="shared" si="44"/>
        <v>12.63</v>
      </c>
      <c r="L154" s="70">
        <f t="shared" si="44"/>
        <v>13.300000000000002</v>
      </c>
      <c r="M154" s="70" t="s">
        <v>149</v>
      </c>
      <c r="N154" s="60" t="s">
        <v>87</v>
      </c>
    </row>
    <row r="155" spans="1:14" ht="15" customHeight="1" hidden="1">
      <c r="A155" s="20" t="s">
        <v>35</v>
      </c>
      <c r="B155" s="22"/>
      <c r="C155" s="37">
        <f>AVERAGE(C257,C263,C268,C272)</f>
        <v>17.44666666666667</v>
      </c>
      <c r="D155" s="37"/>
      <c r="E155" s="70"/>
      <c r="F155" s="70">
        <v>22</v>
      </c>
      <c r="G155" s="61">
        <v>7.83</v>
      </c>
      <c r="H155" s="61">
        <v>8.5</v>
      </c>
      <c r="I155" s="70">
        <v>10.67</v>
      </c>
      <c r="J155" s="70">
        <v>11.58</v>
      </c>
      <c r="K155" s="61">
        <v>12.63</v>
      </c>
      <c r="L155" s="61">
        <v>13.3</v>
      </c>
      <c r="M155" s="70" t="s">
        <v>149</v>
      </c>
      <c r="N155" s="60" t="s">
        <v>35</v>
      </c>
    </row>
    <row r="156" spans="1:14" ht="15" customHeight="1" hidden="1">
      <c r="A156" s="20" t="s">
        <v>36</v>
      </c>
      <c r="B156" s="22"/>
      <c r="C156" s="37">
        <f>AVERAGE(C259,C264,C269,C273)</f>
        <v>20.97</v>
      </c>
      <c r="D156" s="37"/>
      <c r="E156" s="70"/>
      <c r="F156" s="70">
        <v>24</v>
      </c>
      <c r="G156" s="61">
        <v>7.83</v>
      </c>
      <c r="H156" s="61">
        <v>8.5</v>
      </c>
      <c r="I156" s="70">
        <v>10.67</v>
      </c>
      <c r="J156" s="70">
        <v>11.58</v>
      </c>
      <c r="K156" s="61">
        <v>12.63</v>
      </c>
      <c r="L156" s="61">
        <v>13.3</v>
      </c>
      <c r="M156" s="70" t="s">
        <v>149</v>
      </c>
      <c r="N156" s="60" t="s">
        <v>36</v>
      </c>
    </row>
    <row r="157" spans="1:14" ht="15" customHeight="1" hidden="1">
      <c r="A157" s="20" t="s">
        <v>37</v>
      </c>
      <c r="B157" s="22"/>
      <c r="C157" s="37">
        <f>AVERAGE(C260,C265,C270,C274)</f>
        <v>21.140416666666667</v>
      </c>
      <c r="D157" s="37"/>
      <c r="E157" s="70"/>
      <c r="F157" s="70">
        <v>22</v>
      </c>
      <c r="G157" s="61">
        <v>7.83</v>
      </c>
      <c r="H157" s="61">
        <v>8.5</v>
      </c>
      <c r="I157" s="70">
        <v>10.67</v>
      </c>
      <c r="J157" s="70">
        <v>11.58</v>
      </c>
      <c r="K157" s="61">
        <v>12.63</v>
      </c>
      <c r="L157" s="61">
        <v>13.3</v>
      </c>
      <c r="M157" s="70" t="s">
        <v>149</v>
      </c>
      <c r="N157" s="60" t="s">
        <v>37</v>
      </c>
    </row>
    <row r="158" spans="1:14" ht="15" customHeight="1" hidden="1">
      <c r="A158" s="20" t="s">
        <v>88</v>
      </c>
      <c r="B158" s="22"/>
      <c r="C158" s="37">
        <f>AVERAGE(C261,C267,C271,C275)</f>
        <v>20.385</v>
      </c>
      <c r="D158" s="37"/>
      <c r="E158" s="70"/>
      <c r="F158" s="70">
        <f aca="true" t="shared" si="45" ref="F158:L158">AVERAGE(F155:F157)</f>
        <v>22.666666666666668</v>
      </c>
      <c r="G158" s="70">
        <f t="shared" si="45"/>
        <v>7.830000000000001</v>
      </c>
      <c r="H158" s="70">
        <f t="shared" si="45"/>
        <v>8.5</v>
      </c>
      <c r="I158" s="70">
        <f t="shared" si="45"/>
        <v>10.67</v>
      </c>
      <c r="J158" s="70">
        <f t="shared" si="45"/>
        <v>11.58</v>
      </c>
      <c r="K158" s="70">
        <f t="shared" si="45"/>
        <v>12.63</v>
      </c>
      <c r="L158" s="70">
        <f t="shared" si="45"/>
        <v>13.300000000000002</v>
      </c>
      <c r="M158" s="70" t="s">
        <v>83</v>
      </c>
      <c r="N158" s="49" t="s">
        <v>88</v>
      </c>
    </row>
    <row r="159" ht="15" customHeight="1" hidden="1"/>
    <row r="160" spans="1:14" ht="15" customHeight="1" hidden="1">
      <c r="A160" s="20">
        <v>2005</v>
      </c>
      <c r="B160" s="22"/>
      <c r="C160" s="37"/>
      <c r="D160" s="37"/>
      <c r="E160" s="70"/>
      <c r="F160" s="70"/>
      <c r="G160" s="61"/>
      <c r="H160" s="61"/>
      <c r="I160" s="70"/>
      <c r="J160" s="70"/>
      <c r="K160" s="61"/>
      <c r="L160" s="61"/>
      <c r="M160" s="70"/>
      <c r="N160" s="50">
        <v>2005</v>
      </c>
    </row>
    <row r="161" spans="1:14" ht="15" customHeight="1" hidden="1">
      <c r="A161" s="20" t="s">
        <v>25</v>
      </c>
      <c r="B161" s="22"/>
      <c r="C161" s="70">
        <v>27.67</v>
      </c>
      <c r="D161" s="70"/>
      <c r="E161" s="70"/>
      <c r="F161" s="70">
        <v>23</v>
      </c>
      <c r="G161" s="61">
        <v>8.25</v>
      </c>
      <c r="H161" s="61">
        <v>9</v>
      </c>
      <c r="I161" s="70">
        <v>10.86</v>
      </c>
      <c r="J161" s="70">
        <v>11.78</v>
      </c>
      <c r="K161" s="61">
        <v>12.7</v>
      </c>
      <c r="L161" s="61">
        <v>13.59</v>
      </c>
      <c r="M161" s="70" t="s">
        <v>149</v>
      </c>
      <c r="N161" s="60" t="s">
        <v>25</v>
      </c>
    </row>
    <row r="162" spans="1:14" ht="15" customHeight="1" hidden="1">
      <c r="A162" s="20" t="s">
        <v>26</v>
      </c>
      <c r="B162" s="22"/>
      <c r="C162" s="70">
        <v>27.3</v>
      </c>
      <c r="D162" s="70"/>
      <c r="E162" s="70"/>
      <c r="F162" s="70">
        <v>20</v>
      </c>
      <c r="G162" s="61">
        <v>8.57</v>
      </c>
      <c r="H162" s="61">
        <v>9.9</v>
      </c>
      <c r="I162" s="70">
        <v>11.34</v>
      </c>
      <c r="J162" s="70">
        <v>12.11</v>
      </c>
      <c r="K162" s="61">
        <v>12.7</v>
      </c>
      <c r="L162" s="61">
        <v>13.89</v>
      </c>
      <c r="M162" s="77" t="s">
        <v>150</v>
      </c>
      <c r="N162" s="75" t="s">
        <v>26</v>
      </c>
    </row>
    <row r="163" spans="1:14" ht="15" customHeight="1" hidden="1">
      <c r="A163" s="20" t="s">
        <v>27</v>
      </c>
      <c r="B163" s="22"/>
      <c r="C163" s="70">
        <v>26.89</v>
      </c>
      <c r="D163" s="70"/>
      <c r="E163" s="70"/>
      <c r="F163" s="70">
        <v>26.89</v>
      </c>
      <c r="G163" s="70">
        <v>8.57</v>
      </c>
      <c r="H163" s="70">
        <v>10</v>
      </c>
      <c r="I163" s="70">
        <v>11.36</v>
      </c>
      <c r="J163" s="70">
        <v>12.07</v>
      </c>
      <c r="K163" s="70">
        <v>12.7</v>
      </c>
      <c r="L163" s="70">
        <v>13.83</v>
      </c>
      <c r="M163" s="77" t="s">
        <v>150</v>
      </c>
      <c r="N163" s="60" t="s">
        <v>27</v>
      </c>
    </row>
    <row r="164" spans="1:14" ht="15" customHeight="1" hidden="1">
      <c r="A164" s="20" t="s">
        <v>114</v>
      </c>
      <c r="B164" s="22"/>
      <c r="C164" s="70">
        <f>AVERAGE(C161:C163)</f>
        <v>27.286666666666665</v>
      </c>
      <c r="D164" s="70"/>
      <c r="E164" s="70"/>
      <c r="F164" s="70">
        <f aca="true" t="shared" si="46" ref="F164:L164">AVERAGE(F161:F163)</f>
        <v>23.296666666666667</v>
      </c>
      <c r="G164" s="70">
        <f t="shared" si="46"/>
        <v>8.463333333333333</v>
      </c>
      <c r="H164" s="70">
        <f t="shared" si="46"/>
        <v>9.633333333333333</v>
      </c>
      <c r="I164" s="70">
        <f t="shared" si="46"/>
        <v>11.186666666666667</v>
      </c>
      <c r="J164" s="70">
        <f t="shared" si="46"/>
        <v>11.986666666666666</v>
      </c>
      <c r="K164" s="70">
        <f t="shared" si="46"/>
        <v>12.699999999999998</v>
      </c>
      <c r="L164" s="70">
        <f t="shared" si="46"/>
        <v>13.770000000000001</v>
      </c>
      <c r="M164" s="70" t="s">
        <v>153</v>
      </c>
      <c r="N164" s="49" t="s">
        <v>114</v>
      </c>
    </row>
    <row r="165" spans="1:14" ht="15" customHeight="1" hidden="1">
      <c r="A165" s="20" t="s">
        <v>28</v>
      </c>
      <c r="B165" s="22"/>
      <c r="C165" s="37">
        <v>27.25</v>
      </c>
      <c r="D165" s="37"/>
      <c r="E165" s="70"/>
      <c r="F165" s="70">
        <v>20</v>
      </c>
      <c r="G165" s="70">
        <v>8.57</v>
      </c>
      <c r="H165" s="70">
        <v>10</v>
      </c>
      <c r="I165" s="70">
        <v>11.36</v>
      </c>
      <c r="J165" s="70">
        <v>12.07</v>
      </c>
      <c r="K165" s="70">
        <v>12.7</v>
      </c>
      <c r="L165" s="70">
        <v>13.83</v>
      </c>
      <c r="M165" s="70" t="s">
        <v>150</v>
      </c>
      <c r="N165" s="60" t="s">
        <v>28</v>
      </c>
    </row>
    <row r="166" spans="1:14" s="40" customFormat="1" ht="15" customHeight="1" hidden="1">
      <c r="A166" s="20" t="s">
        <v>29</v>
      </c>
      <c r="B166" s="22"/>
      <c r="C166" s="37">
        <v>26.18</v>
      </c>
      <c r="D166" s="37"/>
      <c r="E166" s="4"/>
      <c r="F166" s="70">
        <v>19</v>
      </c>
      <c r="G166" s="70">
        <v>8.57</v>
      </c>
      <c r="H166" s="70">
        <v>10</v>
      </c>
      <c r="I166" s="70">
        <v>11.36</v>
      </c>
      <c r="J166" s="70">
        <v>12.07</v>
      </c>
      <c r="K166" s="70">
        <v>12.7</v>
      </c>
      <c r="L166" s="70">
        <v>13.83</v>
      </c>
      <c r="M166" s="70" t="s">
        <v>150</v>
      </c>
      <c r="N166" s="60" t="s">
        <v>29</v>
      </c>
    </row>
    <row r="167" spans="1:14" ht="15" customHeight="1" hidden="1">
      <c r="A167" s="20" t="s">
        <v>30</v>
      </c>
      <c r="B167" s="22"/>
      <c r="C167" s="37">
        <v>24.68</v>
      </c>
      <c r="D167" s="37"/>
      <c r="E167" s="70"/>
      <c r="F167" s="70">
        <v>20</v>
      </c>
      <c r="G167" s="70">
        <v>8.57</v>
      </c>
      <c r="H167" s="70">
        <v>10</v>
      </c>
      <c r="I167" s="70">
        <v>11.36</v>
      </c>
      <c r="J167" s="70">
        <v>12.07</v>
      </c>
      <c r="K167" s="70">
        <v>12.7</v>
      </c>
      <c r="L167" s="70">
        <v>13.83</v>
      </c>
      <c r="M167" s="70" t="s">
        <v>150</v>
      </c>
      <c r="N167" s="60" t="s">
        <v>30</v>
      </c>
    </row>
    <row r="168" spans="1:14" ht="15" customHeight="1" hidden="1">
      <c r="A168" s="20" t="s">
        <v>86</v>
      </c>
      <c r="B168" s="19"/>
      <c r="C168" s="162">
        <f>AVERAGE(C165:C167)</f>
        <v>26.036666666666665</v>
      </c>
      <c r="D168" s="70"/>
      <c r="E168" s="70"/>
      <c r="F168" s="70">
        <f aca="true" t="shared" si="47" ref="F168:L168">AVERAGE(F165:F167)</f>
        <v>19.666666666666668</v>
      </c>
      <c r="G168" s="70">
        <f t="shared" si="47"/>
        <v>8.57</v>
      </c>
      <c r="H168" s="70">
        <f t="shared" si="47"/>
        <v>10</v>
      </c>
      <c r="I168" s="70">
        <f t="shared" si="47"/>
        <v>11.36</v>
      </c>
      <c r="J168" s="70">
        <f t="shared" si="47"/>
        <v>12.07</v>
      </c>
      <c r="K168" s="70">
        <f t="shared" si="47"/>
        <v>12.699999999999998</v>
      </c>
      <c r="L168" s="70">
        <f t="shared" si="47"/>
        <v>13.83</v>
      </c>
      <c r="M168" s="70" t="s">
        <v>150</v>
      </c>
      <c r="N168" s="60" t="s">
        <v>87</v>
      </c>
    </row>
    <row r="169" spans="1:14" ht="15" customHeight="1" hidden="1">
      <c r="A169" s="20" t="s">
        <v>31</v>
      </c>
      <c r="B169" s="22"/>
      <c r="C169" s="37">
        <v>23.06</v>
      </c>
      <c r="D169" s="37"/>
      <c r="E169" s="4"/>
      <c r="F169" s="70">
        <v>19</v>
      </c>
      <c r="G169" s="70">
        <v>8.57</v>
      </c>
      <c r="H169" s="70">
        <v>10.24</v>
      </c>
      <c r="I169" s="70">
        <v>11.36</v>
      </c>
      <c r="J169" s="70">
        <v>12.07</v>
      </c>
      <c r="K169" s="70">
        <v>12.7</v>
      </c>
      <c r="L169" s="70">
        <v>13.83</v>
      </c>
      <c r="M169" s="70" t="s">
        <v>150</v>
      </c>
      <c r="N169" s="60" t="s">
        <v>31</v>
      </c>
    </row>
    <row r="170" spans="1:14" ht="15" customHeight="1" hidden="1">
      <c r="A170" s="20" t="s">
        <v>32</v>
      </c>
      <c r="B170" s="22"/>
      <c r="C170" s="37">
        <v>20.89</v>
      </c>
      <c r="D170" s="37"/>
      <c r="E170" s="70"/>
      <c r="F170" s="70">
        <v>20</v>
      </c>
      <c r="G170" s="70">
        <v>8.57</v>
      </c>
      <c r="H170" s="70">
        <v>10.3</v>
      </c>
      <c r="I170" s="70">
        <v>11.36</v>
      </c>
      <c r="J170" s="70">
        <v>12.07</v>
      </c>
      <c r="K170" s="70">
        <v>12.7</v>
      </c>
      <c r="L170" s="70">
        <v>13.83</v>
      </c>
      <c r="M170" s="70" t="s">
        <v>150</v>
      </c>
      <c r="N170" s="60" t="s">
        <v>32</v>
      </c>
    </row>
    <row r="171" spans="1:14" ht="15" customHeight="1" hidden="1">
      <c r="A171" s="20" t="s">
        <v>33</v>
      </c>
      <c r="B171" s="22"/>
      <c r="C171" s="37">
        <v>12.92</v>
      </c>
      <c r="D171" s="37"/>
      <c r="E171" s="4"/>
      <c r="F171" s="70">
        <v>15</v>
      </c>
      <c r="G171" s="70">
        <v>8.2</v>
      </c>
      <c r="H171" s="70">
        <v>10.3</v>
      </c>
      <c r="I171" s="70">
        <v>11.13</v>
      </c>
      <c r="J171" s="70">
        <v>11.84</v>
      </c>
      <c r="K171" s="70">
        <v>12.38</v>
      </c>
      <c r="L171" s="70">
        <v>13.57</v>
      </c>
      <c r="M171" s="70" t="s">
        <v>150</v>
      </c>
      <c r="N171" s="60" t="s">
        <v>33</v>
      </c>
    </row>
    <row r="172" spans="1:14" ht="15" customHeight="1" hidden="1">
      <c r="A172" s="20" t="s">
        <v>87</v>
      </c>
      <c r="B172" s="22"/>
      <c r="C172" s="70">
        <f>AVERAGE(C169:C171)</f>
        <v>18.956666666666667</v>
      </c>
      <c r="D172" s="70"/>
      <c r="E172" s="4"/>
      <c r="F172" s="70">
        <f>AVERAGE(F169:F171)</f>
        <v>18</v>
      </c>
      <c r="G172" s="70">
        <f aca="true" t="shared" si="48" ref="G172:L172">AVERAGE(G169:G171)</f>
        <v>8.446666666666667</v>
      </c>
      <c r="H172" s="70">
        <f t="shared" si="48"/>
        <v>10.28</v>
      </c>
      <c r="I172" s="70">
        <f t="shared" si="48"/>
        <v>11.283333333333333</v>
      </c>
      <c r="J172" s="70">
        <f t="shared" si="48"/>
        <v>11.993333333333334</v>
      </c>
      <c r="K172" s="70">
        <f t="shared" si="48"/>
        <v>12.593333333333334</v>
      </c>
      <c r="L172" s="70">
        <f t="shared" si="48"/>
        <v>13.743333333333334</v>
      </c>
      <c r="M172" s="70" t="s">
        <v>150</v>
      </c>
      <c r="N172" s="60" t="s">
        <v>87</v>
      </c>
    </row>
    <row r="173" spans="1:14" ht="15" customHeight="1" hidden="1">
      <c r="A173" s="20" t="s">
        <v>35</v>
      </c>
      <c r="B173" s="22"/>
      <c r="C173" s="37">
        <v>17.98</v>
      </c>
      <c r="D173" s="37"/>
      <c r="E173" s="4"/>
      <c r="F173" s="70">
        <v>11</v>
      </c>
      <c r="G173" s="70">
        <v>7.63</v>
      </c>
      <c r="H173" s="70">
        <v>10.38</v>
      </c>
      <c r="I173" s="70">
        <v>10.43</v>
      </c>
      <c r="J173" s="70">
        <v>11.14</v>
      </c>
      <c r="K173" s="70">
        <v>11.4</v>
      </c>
      <c r="L173" s="70">
        <v>12.83</v>
      </c>
      <c r="M173" s="70" t="s">
        <v>153</v>
      </c>
      <c r="N173" s="60" t="s">
        <v>35</v>
      </c>
    </row>
    <row r="174" spans="1:14" ht="15" customHeight="1" hidden="1">
      <c r="A174" s="20" t="s">
        <v>36</v>
      </c>
      <c r="B174" s="22"/>
      <c r="C174" s="37">
        <v>20.5</v>
      </c>
      <c r="D174" s="37"/>
      <c r="E174" s="79"/>
      <c r="F174" s="70">
        <v>20</v>
      </c>
      <c r="G174" s="70">
        <v>7.63</v>
      </c>
      <c r="H174" s="70">
        <v>10.38</v>
      </c>
      <c r="I174" s="70">
        <v>10.43</v>
      </c>
      <c r="J174" s="70">
        <v>11.14</v>
      </c>
      <c r="K174" s="70">
        <v>11.4</v>
      </c>
      <c r="L174" s="70">
        <v>12.83</v>
      </c>
      <c r="M174" s="70" t="s">
        <v>83</v>
      </c>
      <c r="N174" s="60" t="s">
        <v>36</v>
      </c>
    </row>
    <row r="175" spans="1:14" ht="15" customHeight="1" hidden="1">
      <c r="A175" s="20" t="s">
        <v>37</v>
      </c>
      <c r="B175" s="22"/>
      <c r="C175" s="37">
        <v>20.41</v>
      </c>
      <c r="D175" s="37"/>
      <c r="E175" s="70"/>
      <c r="F175" s="70">
        <v>19</v>
      </c>
      <c r="G175" s="70">
        <v>7.63</v>
      </c>
      <c r="H175" s="70">
        <v>10.38</v>
      </c>
      <c r="I175" s="70">
        <v>10.43</v>
      </c>
      <c r="J175" s="70">
        <v>11.14</v>
      </c>
      <c r="K175" s="70">
        <v>11.4</v>
      </c>
      <c r="L175" s="70">
        <v>12.83</v>
      </c>
      <c r="M175" s="70" t="s">
        <v>83</v>
      </c>
      <c r="N175" s="60" t="s">
        <v>37</v>
      </c>
    </row>
    <row r="176" spans="1:14" ht="15" customHeight="1" hidden="1">
      <c r="A176" s="20" t="s">
        <v>88</v>
      </c>
      <c r="B176" s="22"/>
      <c r="C176" s="70">
        <f>AVERAGE(C173:C175)</f>
        <v>19.63</v>
      </c>
      <c r="D176" s="70"/>
      <c r="E176" s="79"/>
      <c r="F176" s="70">
        <f aca="true" t="shared" si="49" ref="F176:L176">AVERAGE(F173:F175)</f>
        <v>16.666666666666668</v>
      </c>
      <c r="G176" s="70">
        <f t="shared" si="49"/>
        <v>7.63</v>
      </c>
      <c r="H176" s="70">
        <f t="shared" si="49"/>
        <v>10.38</v>
      </c>
      <c r="I176" s="70">
        <f t="shared" si="49"/>
        <v>10.43</v>
      </c>
      <c r="J176" s="70">
        <f t="shared" si="49"/>
        <v>11.14</v>
      </c>
      <c r="K176" s="70">
        <f t="shared" si="49"/>
        <v>11.4</v>
      </c>
      <c r="L176" s="70">
        <f t="shared" si="49"/>
        <v>12.83</v>
      </c>
      <c r="M176" s="70" t="s">
        <v>83</v>
      </c>
      <c r="N176" s="60" t="s">
        <v>88</v>
      </c>
    </row>
    <row r="177" ht="15" customHeight="1" hidden="1"/>
    <row r="178" spans="1:14" ht="15" customHeight="1" hidden="1">
      <c r="A178" s="60"/>
      <c r="C178" s="40"/>
      <c r="D178" s="40"/>
      <c r="F178" s="40"/>
      <c r="G178" s="40"/>
      <c r="H178" s="40"/>
      <c r="I178" s="40"/>
      <c r="J178" s="40"/>
      <c r="K178" s="40"/>
      <c r="L178" s="40"/>
      <c r="M178" s="40"/>
      <c r="N178" s="60"/>
    </row>
    <row r="179" spans="1:14" ht="15" customHeight="1" hidden="1">
      <c r="A179" s="90">
        <v>2006</v>
      </c>
      <c r="B179" s="326"/>
      <c r="C179" s="91"/>
      <c r="D179" s="40"/>
      <c r="E179" s="70"/>
      <c r="F179" s="91"/>
      <c r="G179" s="91"/>
      <c r="H179" s="91"/>
      <c r="I179" s="91"/>
      <c r="J179" s="91"/>
      <c r="K179" s="91"/>
      <c r="L179" s="91"/>
      <c r="M179" s="91"/>
      <c r="N179" s="90">
        <v>2006</v>
      </c>
    </row>
    <row r="180" spans="1:14" ht="15" customHeight="1" hidden="1">
      <c r="A180" s="60" t="s">
        <v>25</v>
      </c>
      <c r="C180" s="88">
        <v>19.82</v>
      </c>
      <c r="D180" s="88"/>
      <c r="F180" s="88">
        <v>19</v>
      </c>
      <c r="G180" s="70">
        <v>7.63</v>
      </c>
      <c r="H180" s="70">
        <v>10.38</v>
      </c>
      <c r="I180" s="70">
        <v>10.43</v>
      </c>
      <c r="J180" s="70">
        <v>11.14</v>
      </c>
      <c r="K180" s="70">
        <v>11.4</v>
      </c>
      <c r="L180" s="70">
        <v>12.83</v>
      </c>
      <c r="M180" s="70" t="s">
        <v>83</v>
      </c>
      <c r="N180" s="60" t="s">
        <v>25</v>
      </c>
    </row>
    <row r="181" spans="1:14" ht="15" customHeight="1" hidden="1">
      <c r="A181" s="60" t="s">
        <v>26</v>
      </c>
      <c r="C181" s="88">
        <v>18.62</v>
      </c>
      <c r="D181" s="88"/>
      <c r="E181" s="40"/>
      <c r="F181" s="88">
        <v>19</v>
      </c>
      <c r="G181" s="70">
        <v>7.63</v>
      </c>
      <c r="H181" s="70">
        <v>10.38</v>
      </c>
      <c r="I181" s="70">
        <v>10.43</v>
      </c>
      <c r="J181" s="70">
        <v>11.14</v>
      </c>
      <c r="K181" s="70">
        <v>11.4</v>
      </c>
      <c r="L181" s="70">
        <v>12.83</v>
      </c>
      <c r="M181" s="70" t="s">
        <v>83</v>
      </c>
      <c r="N181" s="60" t="s">
        <v>26</v>
      </c>
    </row>
    <row r="182" spans="1:14" ht="15" customHeight="1" hidden="1">
      <c r="A182" s="60" t="s">
        <v>27</v>
      </c>
      <c r="C182" s="88">
        <v>19.12</v>
      </c>
      <c r="D182" s="88"/>
      <c r="E182" s="40"/>
      <c r="F182" s="88">
        <v>15.5</v>
      </c>
      <c r="G182" s="70">
        <v>7.63</v>
      </c>
      <c r="H182" s="70">
        <v>10.38</v>
      </c>
      <c r="I182" s="70">
        <v>10.43</v>
      </c>
      <c r="J182" s="70">
        <v>11.14</v>
      </c>
      <c r="K182" s="70">
        <v>11.4</v>
      </c>
      <c r="L182" s="70">
        <v>12.83</v>
      </c>
      <c r="M182" s="70" t="s">
        <v>83</v>
      </c>
      <c r="N182" s="60" t="s">
        <v>27</v>
      </c>
    </row>
    <row r="183" spans="1:14" ht="15" customHeight="1" hidden="1">
      <c r="A183" s="92" t="s">
        <v>114</v>
      </c>
      <c r="B183" s="70"/>
      <c r="C183" s="70">
        <f>AVERAGE(C180:C182)</f>
        <v>19.186666666666667</v>
      </c>
      <c r="D183" s="70"/>
      <c r="E183" s="88"/>
      <c r="F183" s="70">
        <f aca="true" t="shared" si="50" ref="F183:L183">AVERAGE(F180:F182)</f>
        <v>17.833333333333332</v>
      </c>
      <c r="G183" s="70">
        <f t="shared" si="50"/>
        <v>7.63</v>
      </c>
      <c r="H183" s="70">
        <f t="shared" si="50"/>
        <v>10.38</v>
      </c>
      <c r="I183" s="70">
        <f t="shared" si="50"/>
        <v>10.43</v>
      </c>
      <c r="J183" s="70">
        <f t="shared" si="50"/>
        <v>11.14</v>
      </c>
      <c r="K183" s="70">
        <f t="shared" si="50"/>
        <v>11.4</v>
      </c>
      <c r="L183" s="70">
        <f t="shared" si="50"/>
        <v>12.83</v>
      </c>
      <c r="M183" s="35" t="s">
        <v>150</v>
      </c>
      <c r="N183" s="92" t="s">
        <v>114</v>
      </c>
    </row>
    <row r="184" spans="1:14" ht="15" customHeight="1" hidden="1">
      <c r="A184" s="60" t="s">
        <v>28</v>
      </c>
      <c r="C184" s="88">
        <v>18.89</v>
      </c>
      <c r="D184" s="88"/>
      <c r="E184" s="88"/>
      <c r="F184" s="88">
        <v>13</v>
      </c>
      <c r="G184" s="70">
        <v>7.63</v>
      </c>
      <c r="H184" s="70">
        <v>10.38</v>
      </c>
      <c r="I184" s="70">
        <v>10.43</v>
      </c>
      <c r="J184" s="70">
        <v>11.14</v>
      </c>
      <c r="K184" s="70">
        <v>11.4</v>
      </c>
      <c r="L184" s="70">
        <v>12.83</v>
      </c>
      <c r="M184" s="70" t="s">
        <v>83</v>
      </c>
      <c r="N184" s="60" t="s">
        <v>28</v>
      </c>
    </row>
    <row r="185" spans="1:14" ht="15" customHeight="1" hidden="1">
      <c r="A185" s="60" t="s">
        <v>29</v>
      </c>
      <c r="C185" s="88">
        <v>19.02</v>
      </c>
      <c r="D185" s="88"/>
      <c r="E185" s="88"/>
      <c r="F185" s="88">
        <v>15</v>
      </c>
      <c r="G185" s="70">
        <v>7.63</v>
      </c>
      <c r="H185" s="70">
        <v>10.38</v>
      </c>
      <c r="I185" s="70">
        <v>10.43</v>
      </c>
      <c r="J185" s="70">
        <v>11.14</v>
      </c>
      <c r="K185" s="70">
        <v>11.4</v>
      </c>
      <c r="L185" s="70">
        <v>12.83</v>
      </c>
      <c r="M185" s="70" t="s">
        <v>83</v>
      </c>
      <c r="N185" s="60" t="s">
        <v>29</v>
      </c>
    </row>
    <row r="186" spans="1:14" ht="15" customHeight="1" hidden="1">
      <c r="A186" s="60" t="s">
        <v>30</v>
      </c>
      <c r="C186" s="88">
        <v>19.04</v>
      </c>
      <c r="D186" s="88"/>
      <c r="E186" s="70"/>
      <c r="F186" s="88">
        <v>20</v>
      </c>
      <c r="G186" s="70">
        <v>7.63</v>
      </c>
      <c r="H186" s="70">
        <v>10.38</v>
      </c>
      <c r="I186" s="70">
        <v>10.43</v>
      </c>
      <c r="J186" s="70">
        <v>11.14</v>
      </c>
      <c r="K186" s="70">
        <v>11.4</v>
      </c>
      <c r="L186" s="70">
        <v>12.83</v>
      </c>
      <c r="M186" s="70" t="s">
        <v>83</v>
      </c>
      <c r="N186" s="60" t="s">
        <v>30</v>
      </c>
    </row>
    <row r="187" spans="1:14" ht="15" customHeight="1" hidden="1">
      <c r="A187" s="92" t="s">
        <v>86</v>
      </c>
      <c r="B187" s="70"/>
      <c r="C187" s="70">
        <f>AVERAGE(C184:C186)</f>
        <v>18.98333333333333</v>
      </c>
      <c r="D187" s="70"/>
      <c r="E187" s="88"/>
      <c r="F187" s="70">
        <f aca="true" t="shared" si="51" ref="F187:L187">AVERAGE(F184:F186)</f>
        <v>16</v>
      </c>
      <c r="G187" s="70">
        <f t="shared" si="51"/>
        <v>7.63</v>
      </c>
      <c r="H187" s="70">
        <f t="shared" si="51"/>
        <v>10.38</v>
      </c>
      <c r="I187" s="70">
        <f t="shared" si="51"/>
        <v>10.43</v>
      </c>
      <c r="J187" s="70">
        <f t="shared" si="51"/>
        <v>11.14</v>
      </c>
      <c r="K187" s="70">
        <f t="shared" si="51"/>
        <v>11.4</v>
      </c>
      <c r="L187" s="70">
        <f t="shared" si="51"/>
        <v>12.83</v>
      </c>
      <c r="M187" s="35" t="s">
        <v>150</v>
      </c>
      <c r="N187" s="92" t="s">
        <v>86</v>
      </c>
    </row>
    <row r="188" spans="1:14" ht="15" customHeight="1" hidden="1">
      <c r="A188" s="60" t="s">
        <v>31</v>
      </c>
      <c r="C188" s="88">
        <v>19.76</v>
      </c>
      <c r="D188" s="88"/>
      <c r="E188" s="88"/>
      <c r="F188" s="88">
        <v>18</v>
      </c>
      <c r="G188" s="70">
        <v>7.63</v>
      </c>
      <c r="H188" s="70">
        <v>10.38</v>
      </c>
      <c r="I188" s="70">
        <v>10.43</v>
      </c>
      <c r="J188" s="70">
        <v>11.14</v>
      </c>
      <c r="K188" s="70">
        <v>11.4</v>
      </c>
      <c r="L188" s="70">
        <v>12.83</v>
      </c>
      <c r="M188" s="70" t="s">
        <v>83</v>
      </c>
      <c r="N188" s="60" t="s">
        <v>31</v>
      </c>
    </row>
    <row r="189" spans="1:14" ht="15" customHeight="1" hidden="1">
      <c r="A189" s="60" t="s">
        <v>32</v>
      </c>
      <c r="C189" s="88">
        <v>19.68</v>
      </c>
      <c r="D189" s="88"/>
      <c r="E189" s="88"/>
      <c r="F189" s="88">
        <v>20</v>
      </c>
      <c r="G189" s="70">
        <v>7.63</v>
      </c>
      <c r="H189" s="70">
        <v>10.38</v>
      </c>
      <c r="I189" s="70">
        <v>10.43</v>
      </c>
      <c r="J189" s="70">
        <v>11.14</v>
      </c>
      <c r="K189" s="70">
        <v>11.4</v>
      </c>
      <c r="L189" s="70">
        <v>12.83</v>
      </c>
      <c r="M189" s="70" t="s">
        <v>83</v>
      </c>
      <c r="N189" s="60" t="s">
        <v>32</v>
      </c>
    </row>
    <row r="190" spans="1:14" ht="15" customHeight="1" hidden="1">
      <c r="A190" s="60" t="s">
        <v>33</v>
      </c>
      <c r="C190" s="88">
        <v>16.44</v>
      </c>
      <c r="D190" s="88"/>
      <c r="E190" s="70"/>
      <c r="F190" s="88">
        <v>13.5</v>
      </c>
      <c r="G190" s="70">
        <v>7.63</v>
      </c>
      <c r="H190" s="70">
        <v>10.38</v>
      </c>
      <c r="I190" s="70">
        <v>10.43</v>
      </c>
      <c r="J190" s="70">
        <v>11.14</v>
      </c>
      <c r="K190" s="70">
        <v>11.4</v>
      </c>
      <c r="L190" s="70">
        <v>12.83</v>
      </c>
      <c r="M190" s="70" t="s">
        <v>83</v>
      </c>
      <c r="N190" s="60" t="s">
        <v>33</v>
      </c>
    </row>
    <row r="191" spans="1:14" ht="15" customHeight="1" hidden="1">
      <c r="A191" s="92" t="s">
        <v>87</v>
      </c>
      <c r="B191" s="70"/>
      <c r="C191" s="70">
        <f>AVERAGE(C188:C190)</f>
        <v>18.626666666666665</v>
      </c>
      <c r="D191" s="70"/>
      <c r="E191" s="88"/>
      <c r="F191" s="70">
        <f aca="true" t="shared" si="52" ref="F191:L191">AVERAGE(F188:F190)</f>
        <v>17.166666666666668</v>
      </c>
      <c r="G191" s="70">
        <f t="shared" si="52"/>
        <v>7.63</v>
      </c>
      <c r="H191" s="70">
        <f t="shared" si="52"/>
        <v>10.38</v>
      </c>
      <c r="I191" s="70">
        <f t="shared" si="52"/>
        <v>10.43</v>
      </c>
      <c r="J191" s="70">
        <f t="shared" si="52"/>
        <v>11.14</v>
      </c>
      <c r="K191" s="70">
        <f t="shared" si="52"/>
        <v>11.4</v>
      </c>
      <c r="L191" s="70">
        <f t="shared" si="52"/>
        <v>12.83</v>
      </c>
      <c r="M191" s="35" t="s">
        <v>150</v>
      </c>
      <c r="N191" s="92" t="s">
        <v>87</v>
      </c>
    </row>
    <row r="192" spans="1:14" ht="15" customHeight="1" hidden="1">
      <c r="A192" s="60" t="s">
        <v>35</v>
      </c>
      <c r="C192" s="88">
        <v>14.23</v>
      </c>
      <c r="D192" s="88"/>
      <c r="E192" s="88"/>
      <c r="F192" s="88">
        <v>12</v>
      </c>
      <c r="G192" s="70">
        <v>7.63</v>
      </c>
      <c r="H192" s="70">
        <v>10.38</v>
      </c>
      <c r="I192" s="70">
        <v>10.43</v>
      </c>
      <c r="J192" s="70">
        <v>11.14</v>
      </c>
      <c r="K192" s="70">
        <v>11.4</v>
      </c>
      <c r="L192" s="70">
        <v>12.83</v>
      </c>
      <c r="M192" s="70" t="s">
        <v>83</v>
      </c>
      <c r="N192" s="60" t="s">
        <v>35</v>
      </c>
    </row>
    <row r="193" spans="1:14" ht="15" customHeight="1" hidden="1">
      <c r="A193" s="60" t="s">
        <v>36</v>
      </c>
      <c r="C193" s="88">
        <v>13.72</v>
      </c>
      <c r="D193" s="88"/>
      <c r="E193" s="88"/>
      <c r="F193" s="88">
        <v>12</v>
      </c>
      <c r="G193" s="70">
        <v>7.63</v>
      </c>
      <c r="H193" s="70">
        <v>10.38</v>
      </c>
      <c r="I193" s="70">
        <v>10.43</v>
      </c>
      <c r="J193" s="70">
        <v>11.14</v>
      </c>
      <c r="K193" s="70">
        <v>11.4</v>
      </c>
      <c r="L193" s="70">
        <v>12.83</v>
      </c>
      <c r="M193" s="70" t="s">
        <v>83</v>
      </c>
      <c r="N193" s="60" t="s">
        <v>36</v>
      </c>
    </row>
    <row r="194" spans="1:14" ht="15" customHeight="1" hidden="1">
      <c r="A194" s="60" t="s">
        <v>37</v>
      </c>
      <c r="C194" s="88">
        <v>14.19</v>
      </c>
      <c r="D194" s="88"/>
      <c r="E194" s="70"/>
      <c r="F194" s="88">
        <v>17</v>
      </c>
      <c r="G194" s="70">
        <v>7.63</v>
      </c>
      <c r="H194" s="70">
        <v>10.38</v>
      </c>
      <c r="I194" s="70">
        <v>10.43</v>
      </c>
      <c r="J194" s="70">
        <v>11.14</v>
      </c>
      <c r="K194" s="70">
        <v>11.4</v>
      </c>
      <c r="L194" s="70">
        <v>12.83</v>
      </c>
      <c r="M194" s="70" t="s">
        <v>83</v>
      </c>
      <c r="N194" s="60" t="s">
        <v>37</v>
      </c>
    </row>
    <row r="195" spans="1:14" ht="15" customHeight="1" hidden="1">
      <c r="A195" s="92" t="s">
        <v>88</v>
      </c>
      <c r="B195" s="70"/>
      <c r="C195" s="70">
        <f>AVERAGE(C192:C194)</f>
        <v>14.046666666666667</v>
      </c>
      <c r="D195" s="70"/>
      <c r="E195" s="88"/>
      <c r="F195" s="70">
        <f aca="true" t="shared" si="53" ref="F195:L195">AVERAGE(F192:F194)</f>
        <v>13.666666666666666</v>
      </c>
      <c r="G195" s="70">
        <f t="shared" si="53"/>
        <v>7.63</v>
      </c>
      <c r="H195" s="70">
        <f t="shared" si="53"/>
        <v>10.38</v>
      </c>
      <c r="I195" s="70">
        <f t="shared" si="53"/>
        <v>10.43</v>
      </c>
      <c r="J195" s="70">
        <f t="shared" si="53"/>
        <v>11.14</v>
      </c>
      <c r="K195" s="70">
        <f t="shared" si="53"/>
        <v>11.4</v>
      </c>
      <c r="L195" s="70">
        <f t="shared" si="53"/>
        <v>12.83</v>
      </c>
      <c r="M195" s="35" t="s">
        <v>150</v>
      </c>
      <c r="N195" s="92" t="s">
        <v>88</v>
      </c>
    </row>
    <row r="196" spans="2:14" ht="15" customHeight="1" hidden="1">
      <c r="B196" s="3"/>
      <c r="C196" s="86"/>
      <c r="D196" s="88"/>
      <c r="E196" s="88"/>
      <c r="F196" s="88"/>
      <c r="G196" s="88"/>
      <c r="H196" s="88"/>
      <c r="I196" s="88"/>
      <c r="J196" s="88"/>
      <c r="K196" s="88"/>
      <c r="L196" s="88"/>
      <c r="M196" s="94"/>
      <c r="N196" s="75"/>
    </row>
    <row r="197" spans="2:14" ht="15" customHeight="1" hidden="1">
      <c r="B197" s="3"/>
      <c r="C197" s="87"/>
      <c r="D197" s="40"/>
      <c r="E197" s="88"/>
      <c r="F197" s="40"/>
      <c r="G197" s="40"/>
      <c r="H197" s="40"/>
      <c r="I197" s="40"/>
      <c r="J197" s="40"/>
      <c r="K197" s="40"/>
      <c r="L197" s="40"/>
      <c r="M197" s="94"/>
      <c r="N197" s="75"/>
    </row>
    <row r="198" spans="1:14" ht="15" customHeight="1" hidden="1">
      <c r="A198" s="50">
        <v>2007</v>
      </c>
      <c r="B198" s="6"/>
      <c r="C198" s="40"/>
      <c r="D198" s="40"/>
      <c r="E198" s="70"/>
      <c r="F198" s="40"/>
      <c r="G198" s="40"/>
      <c r="H198" s="40"/>
      <c r="I198" s="40"/>
      <c r="J198" s="40"/>
      <c r="K198" s="40"/>
      <c r="L198" s="40"/>
      <c r="M198" s="40"/>
      <c r="N198" s="20">
        <v>2007</v>
      </c>
    </row>
    <row r="199" spans="1:14" ht="15" customHeight="1" hidden="1">
      <c r="A199" s="92" t="s">
        <v>25</v>
      </c>
      <c r="B199" s="70"/>
      <c r="C199" s="70">
        <v>15.61</v>
      </c>
      <c r="D199" s="70"/>
      <c r="E199" s="88"/>
      <c r="F199" s="70">
        <v>15</v>
      </c>
      <c r="G199" s="70">
        <v>7.69</v>
      </c>
      <c r="H199" s="70">
        <v>10.38</v>
      </c>
      <c r="I199" s="70">
        <v>10.38</v>
      </c>
      <c r="J199" s="70">
        <v>11.13</v>
      </c>
      <c r="K199" s="70">
        <v>11.33</v>
      </c>
      <c r="L199" s="70">
        <v>12.83</v>
      </c>
      <c r="M199" s="70" t="s">
        <v>150</v>
      </c>
      <c r="N199" s="49" t="s">
        <v>25</v>
      </c>
    </row>
    <row r="200" spans="1:14" ht="15" customHeight="1" hidden="1">
      <c r="A200" s="92" t="s">
        <v>26</v>
      </c>
      <c r="B200" s="70"/>
      <c r="C200" s="70">
        <v>12.93</v>
      </c>
      <c r="D200" s="70"/>
      <c r="E200" s="40"/>
      <c r="F200" s="70">
        <v>14</v>
      </c>
      <c r="G200" s="70">
        <v>7.93</v>
      </c>
      <c r="H200" s="70">
        <v>10.26</v>
      </c>
      <c r="I200" s="70">
        <v>10.26</v>
      </c>
      <c r="J200" s="70">
        <v>10.97</v>
      </c>
      <c r="K200" s="70">
        <v>11.04</v>
      </c>
      <c r="L200" s="70">
        <v>12.5</v>
      </c>
      <c r="M200" s="70" t="s">
        <v>150</v>
      </c>
      <c r="N200" s="49" t="s">
        <v>26</v>
      </c>
    </row>
    <row r="201" spans="1:14" ht="15" customHeight="1" hidden="1">
      <c r="A201" s="92" t="s">
        <v>27</v>
      </c>
      <c r="B201" s="70"/>
      <c r="C201" s="70">
        <v>13.02</v>
      </c>
      <c r="D201" s="70"/>
      <c r="E201" s="40"/>
      <c r="F201" s="70">
        <v>13</v>
      </c>
      <c r="G201" s="70">
        <v>7.59</v>
      </c>
      <c r="H201" s="70">
        <v>10.13</v>
      </c>
      <c r="I201" s="70">
        <v>9.98</v>
      </c>
      <c r="J201" s="70">
        <v>10.66</v>
      </c>
      <c r="K201" s="70">
        <v>10.62</v>
      </c>
      <c r="L201" s="70">
        <v>12.17</v>
      </c>
      <c r="M201" s="70" t="s">
        <v>150</v>
      </c>
      <c r="N201" s="49" t="s">
        <v>27</v>
      </c>
    </row>
    <row r="202" spans="1:14" ht="15" customHeight="1" hidden="1">
      <c r="A202" s="92" t="s">
        <v>114</v>
      </c>
      <c r="B202" s="70"/>
      <c r="C202" s="70">
        <f aca="true" t="shared" si="54" ref="C202:L202">AVERAGE(C199:C201)</f>
        <v>13.853333333333333</v>
      </c>
      <c r="D202" s="70"/>
      <c r="E202" s="70"/>
      <c r="F202" s="70">
        <f t="shared" si="54"/>
        <v>14</v>
      </c>
      <c r="G202" s="70">
        <f t="shared" si="54"/>
        <v>7.736666666666667</v>
      </c>
      <c r="H202" s="70">
        <f t="shared" si="54"/>
        <v>10.256666666666668</v>
      </c>
      <c r="I202" s="70">
        <f t="shared" si="54"/>
        <v>10.206666666666667</v>
      </c>
      <c r="J202" s="70">
        <f t="shared" si="54"/>
        <v>10.920000000000002</v>
      </c>
      <c r="K202" s="70">
        <f t="shared" si="54"/>
        <v>10.996666666666664</v>
      </c>
      <c r="L202" s="70">
        <f t="shared" si="54"/>
        <v>12.5</v>
      </c>
      <c r="M202" s="70" t="s">
        <v>150</v>
      </c>
      <c r="N202" s="49" t="s">
        <v>114</v>
      </c>
    </row>
    <row r="203" spans="1:14" ht="15" customHeight="1" hidden="1">
      <c r="A203" s="92" t="s">
        <v>28</v>
      </c>
      <c r="B203" s="70"/>
      <c r="C203" s="70">
        <v>15.76</v>
      </c>
      <c r="D203" s="70"/>
      <c r="E203" s="70"/>
      <c r="F203" s="70">
        <v>13</v>
      </c>
      <c r="G203" s="70">
        <v>7.72</v>
      </c>
      <c r="H203" s="70">
        <v>10.13</v>
      </c>
      <c r="I203" s="70">
        <v>10.13</v>
      </c>
      <c r="J203" s="70">
        <v>10.81</v>
      </c>
      <c r="K203" s="70">
        <v>10.75</v>
      </c>
      <c r="L203" s="70">
        <v>12.17</v>
      </c>
      <c r="M203" s="70" t="s">
        <v>150</v>
      </c>
      <c r="N203" s="49" t="s">
        <v>28</v>
      </c>
    </row>
    <row r="204" spans="1:14" ht="15" customHeight="1" hidden="1">
      <c r="A204" s="92" t="s">
        <v>29</v>
      </c>
      <c r="B204" s="70"/>
      <c r="C204" s="70">
        <v>18.54</v>
      </c>
      <c r="D204" s="70"/>
      <c r="E204" s="70"/>
      <c r="F204" s="70">
        <v>18</v>
      </c>
      <c r="G204" s="70">
        <v>7.69</v>
      </c>
      <c r="H204" s="70">
        <v>10.2</v>
      </c>
      <c r="I204" s="70">
        <v>10.19</v>
      </c>
      <c r="J204" s="70">
        <v>10.94</v>
      </c>
      <c r="K204" s="70">
        <v>10.5</v>
      </c>
      <c r="L204" s="70">
        <v>12.17</v>
      </c>
      <c r="M204" s="70" t="s">
        <v>150</v>
      </c>
      <c r="N204" s="49" t="s">
        <v>29</v>
      </c>
    </row>
    <row r="205" spans="1:14" ht="15" customHeight="1" hidden="1">
      <c r="A205" s="92" t="s">
        <v>30</v>
      </c>
      <c r="B205" s="70"/>
      <c r="C205" s="70">
        <v>17.54</v>
      </c>
      <c r="D205" s="70"/>
      <c r="E205" s="70"/>
      <c r="F205" s="70">
        <v>16</v>
      </c>
      <c r="G205" s="70">
        <v>7.69</v>
      </c>
      <c r="H205" s="70">
        <v>10.13</v>
      </c>
      <c r="I205" s="70">
        <v>10.13</v>
      </c>
      <c r="J205" s="70">
        <v>10.81</v>
      </c>
      <c r="K205" s="70">
        <v>10.92</v>
      </c>
      <c r="L205" s="70">
        <v>12.17</v>
      </c>
      <c r="M205" s="70" t="s">
        <v>150</v>
      </c>
      <c r="N205" s="49" t="s">
        <v>30</v>
      </c>
    </row>
    <row r="206" spans="1:14" ht="15" customHeight="1" hidden="1">
      <c r="A206" s="92" t="s">
        <v>86</v>
      </c>
      <c r="B206" s="70"/>
      <c r="C206" s="70">
        <f aca="true" t="shared" si="55" ref="C206:L206">AVERAGE(C203:C205)</f>
        <v>17.279999999999998</v>
      </c>
      <c r="D206" s="70"/>
      <c r="E206" s="70"/>
      <c r="F206" s="70">
        <f t="shared" si="55"/>
        <v>15.666666666666666</v>
      </c>
      <c r="G206" s="70">
        <f t="shared" si="55"/>
        <v>7.7</v>
      </c>
      <c r="H206" s="70">
        <f t="shared" si="55"/>
        <v>10.153333333333334</v>
      </c>
      <c r="I206" s="70">
        <f t="shared" si="55"/>
        <v>10.15</v>
      </c>
      <c r="J206" s="70">
        <f t="shared" si="55"/>
        <v>10.853333333333333</v>
      </c>
      <c r="K206" s="70">
        <f t="shared" si="55"/>
        <v>10.723333333333334</v>
      </c>
      <c r="L206" s="70">
        <f t="shared" si="55"/>
        <v>12.17</v>
      </c>
      <c r="M206" s="70" t="s">
        <v>150</v>
      </c>
      <c r="N206" s="49" t="s">
        <v>86</v>
      </c>
    </row>
    <row r="207" spans="1:14" ht="15" customHeight="1" hidden="1">
      <c r="A207" s="92" t="s">
        <v>31</v>
      </c>
      <c r="B207" s="70"/>
      <c r="C207" s="70">
        <v>20.17</v>
      </c>
      <c r="D207" s="70"/>
      <c r="E207" s="70"/>
      <c r="F207" s="70">
        <v>15</v>
      </c>
      <c r="G207" s="70">
        <v>7.69</v>
      </c>
      <c r="H207" s="70">
        <v>10.13</v>
      </c>
      <c r="I207" s="70">
        <v>10.13</v>
      </c>
      <c r="J207" s="70">
        <v>10.81</v>
      </c>
      <c r="K207" s="70">
        <v>10.92</v>
      </c>
      <c r="L207" s="70">
        <v>12.17</v>
      </c>
      <c r="M207" s="70" t="s">
        <v>150</v>
      </c>
      <c r="N207" s="49" t="s">
        <v>31</v>
      </c>
    </row>
    <row r="208" spans="1:14" ht="15" customHeight="1" hidden="1">
      <c r="A208" s="92" t="s">
        <v>32</v>
      </c>
      <c r="B208" s="70"/>
      <c r="C208" s="70">
        <v>21.9</v>
      </c>
      <c r="D208" s="70"/>
      <c r="E208" s="70"/>
      <c r="F208" s="70">
        <v>20</v>
      </c>
      <c r="G208" s="70">
        <v>7.72</v>
      </c>
      <c r="H208" s="70">
        <v>9.8</v>
      </c>
      <c r="I208" s="70">
        <v>10.11</v>
      </c>
      <c r="J208" s="70">
        <v>10.94</v>
      </c>
      <c r="K208" s="70">
        <v>10.92</v>
      </c>
      <c r="L208" s="70">
        <v>12.43</v>
      </c>
      <c r="M208" s="70" t="s">
        <v>150</v>
      </c>
      <c r="N208" s="49" t="s">
        <v>32</v>
      </c>
    </row>
    <row r="209" spans="1:14" ht="15" customHeight="1" hidden="1">
      <c r="A209" s="92" t="s">
        <v>33</v>
      </c>
      <c r="B209" s="70"/>
      <c r="C209" s="70">
        <v>21.63</v>
      </c>
      <c r="D209" s="70"/>
      <c r="E209" s="70"/>
      <c r="F209" s="70">
        <v>17</v>
      </c>
      <c r="G209" s="70">
        <v>7.39</v>
      </c>
      <c r="H209" s="70">
        <v>9.8</v>
      </c>
      <c r="I209" s="70">
        <v>9.78</v>
      </c>
      <c r="J209" s="70">
        <v>10.61</v>
      </c>
      <c r="K209" s="70">
        <v>10.25</v>
      </c>
      <c r="L209" s="70">
        <v>12.13</v>
      </c>
      <c r="M209" s="70" t="s">
        <v>150</v>
      </c>
      <c r="N209" s="49" t="s">
        <v>33</v>
      </c>
    </row>
    <row r="210" spans="1:14" ht="15" customHeight="1" hidden="1">
      <c r="A210" s="92" t="s">
        <v>87</v>
      </c>
      <c r="B210" s="70"/>
      <c r="C210" s="70">
        <f aca="true" t="shared" si="56" ref="C210:L210">AVERAGE(C207:C209)</f>
        <v>21.233333333333334</v>
      </c>
      <c r="D210" s="70"/>
      <c r="E210" s="70"/>
      <c r="F210" s="70">
        <f t="shared" si="56"/>
        <v>17.333333333333332</v>
      </c>
      <c r="G210" s="70">
        <f t="shared" si="56"/>
        <v>7.6000000000000005</v>
      </c>
      <c r="H210" s="70">
        <f t="shared" si="56"/>
        <v>9.91</v>
      </c>
      <c r="I210" s="70">
        <f t="shared" si="56"/>
        <v>10.006666666666668</v>
      </c>
      <c r="J210" s="70">
        <f t="shared" si="56"/>
        <v>10.786666666666667</v>
      </c>
      <c r="K210" s="70">
        <f t="shared" si="56"/>
        <v>10.696666666666667</v>
      </c>
      <c r="L210" s="70">
        <f t="shared" si="56"/>
        <v>12.243333333333334</v>
      </c>
      <c r="M210" s="70" t="s">
        <v>150</v>
      </c>
      <c r="N210" s="49" t="s">
        <v>86</v>
      </c>
    </row>
    <row r="211" spans="1:14" ht="15" customHeight="1" hidden="1">
      <c r="A211" s="92" t="s">
        <v>35</v>
      </c>
      <c r="B211" s="70"/>
      <c r="C211" s="70">
        <v>21.26</v>
      </c>
      <c r="D211" s="70"/>
      <c r="E211" s="70"/>
      <c r="F211" s="70">
        <v>20</v>
      </c>
      <c r="G211" s="70">
        <v>7.39</v>
      </c>
      <c r="H211" s="70">
        <v>9.8</v>
      </c>
      <c r="I211" s="70">
        <v>9.78</v>
      </c>
      <c r="J211" s="70">
        <v>10.61</v>
      </c>
      <c r="K211" s="70">
        <v>10.25</v>
      </c>
      <c r="L211" s="70">
        <v>12.13</v>
      </c>
      <c r="M211" s="70" t="s">
        <v>150</v>
      </c>
      <c r="N211" s="49" t="s">
        <v>35</v>
      </c>
    </row>
    <row r="212" spans="1:14" ht="15" customHeight="1" hidden="1">
      <c r="A212" s="92" t="s">
        <v>36</v>
      </c>
      <c r="B212" s="70"/>
      <c r="C212" s="70">
        <v>21.24</v>
      </c>
      <c r="D212" s="70"/>
      <c r="E212" s="70"/>
      <c r="F212" s="70">
        <v>18</v>
      </c>
      <c r="G212" s="70">
        <v>7.39</v>
      </c>
      <c r="H212" s="70">
        <v>9.8</v>
      </c>
      <c r="I212" s="70">
        <v>9.78</v>
      </c>
      <c r="J212" s="70">
        <v>10.61</v>
      </c>
      <c r="K212" s="70">
        <v>10.25</v>
      </c>
      <c r="L212" s="70">
        <v>12.13</v>
      </c>
      <c r="M212" s="70" t="s">
        <v>150</v>
      </c>
      <c r="N212" s="49" t="s">
        <v>36</v>
      </c>
    </row>
    <row r="213" spans="1:14" ht="15" customHeight="1" hidden="1">
      <c r="A213" s="92" t="s">
        <v>37</v>
      </c>
      <c r="B213" s="70"/>
      <c r="C213" s="70">
        <v>21.29</v>
      </c>
      <c r="D213" s="70"/>
      <c r="E213" s="70"/>
      <c r="F213" s="70">
        <v>20</v>
      </c>
      <c r="G213" s="70">
        <v>7.39</v>
      </c>
      <c r="H213" s="70">
        <v>9.33</v>
      </c>
      <c r="I213" s="70">
        <v>9.7</v>
      </c>
      <c r="J213" s="70">
        <v>10.55</v>
      </c>
      <c r="K213" s="70">
        <v>10.25</v>
      </c>
      <c r="L213" s="70">
        <v>12</v>
      </c>
      <c r="M213" s="70" t="s">
        <v>150</v>
      </c>
      <c r="N213" s="49" t="s">
        <v>37</v>
      </c>
    </row>
    <row r="214" spans="1:14" ht="15" customHeight="1" hidden="1">
      <c r="A214" s="92" t="s">
        <v>87</v>
      </c>
      <c r="B214" s="70"/>
      <c r="C214" s="70">
        <f aca="true" t="shared" si="57" ref="C214:L214">AVERAGE(C211:C213)</f>
        <v>21.263333333333332</v>
      </c>
      <c r="D214" s="70"/>
      <c r="E214" s="70"/>
      <c r="F214" s="70">
        <f t="shared" si="57"/>
        <v>19.333333333333332</v>
      </c>
      <c r="G214" s="70">
        <v>7.25</v>
      </c>
      <c r="H214" s="70">
        <v>9.33</v>
      </c>
      <c r="I214" s="70">
        <f t="shared" si="57"/>
        <v>9.753333333333332</v>
      </c>
      <c r="J214" s="70">
        <f t="shared" si="57"/>
        <v>10.59</v>
      </c>
      <c r="K214" s="70">
        <f t="shared" si="57"/>
        <v>10.25</v>
      </c>
      <c r="L214" s="70">
        <f t="shared" si="57"/>
        <v>12.086666666666668</v>
      </c>
      <c r="M214" s="70" t="s">
        <v>150</v>
      </c>
      <c r="N214" s="60" t="s">
        <v>86</v>
      </c>
    </row>
    <row r="215" spans="1:14" ht="15" customHeight="1">
      <c r="A215" s="60"/>
      <c r="C215" s="40"/>
      <c r="D215" s="40"/>
      <c r="E215" s="70"/>
      <c r="F215" s="40"/>
      <c r="G215" s="40"/>
      <c r="H215" s="40"/>
      <c r="I215" s="40"/>
      <c r="J215" s="40"/>
      <c r="K215" s="40"/>
      <c r="L215" s="40"/>
      <c r="M215" s="40"/>
      <c r="N215" s="60"/>
    </row>
    <row r="216" spans="1:16" ht="15" customHeight="1">
      <c r="A216" s="60"/>
      <c r="C216" s="40"/>
      <c r="D216" s="40"/>
      <c r="E216" s="70"/>
      <c r="F216" s="40"/>
      <c r="G216" s="40"/>
      <c r="H216" s="40"/>
      <c r="I216" s="40"/>
      <c r="J216" s="40"/>
      <c r="K216" s="40"/>
      <c r="L216" s="40"/>
      <c r="M216" s="40"/>
      <c r="N216" s="60"/>
      <c r="O216" s="193"/>
      <c r="P216" s="193"/>
    </row>
    <row r="217" spans="1:14" ht="15" customHeight="1">
      <c r="A217" s="50">
        <v>2008</v>
      </c>
      <c r="B217" s="6"/>
      <c r="C217" s="40"/>
      <c r="D217" s="40"/>
      <c r="E217" s="70"/>
      <c r="F217" s="40"/>
      <c r="G217" s="40"/>
      <c r="H217" s="40"/>
      <c r="I217" s="40"/>
      <c r="J217" s="40"/>
      <c r="K217" s="40"/>
      <c r="L217" s="40"/>
      <c r="M217" s="40"/>
      <c r="N217" s="20">
        <v>2008</v>
      </c>
    </row>
    <row r="218" spans="1:16" ht="15" customHeight="1">
      <c r="A218" s="92" t="s">
        <v>25</v>
      </c>
      <c r="B218" s="70"/>
      <c r="C218" s="70">
        <v>20.48</v>
      </c>
      <c r="D218" s="70"/>
      <c r="E218" s="70">
        <v>4.63</v>
      </c>
      <c r="F218" s="70">
        <v>18</v>
      </c>
      <c r="G218" s="70">
        <v>7.25</v>
      </c>
      <c r="H218" s="70">
        <v>9.33</v>
      </c>
      <c r="I218" s="70">
        <v>9.7</v>
      </c>
      <c r="J218" s="70">
        <v>10.55</v>
      </c>
      <c r="K218" s="70">
        <v>10.25</v>
      </c>
      <c r="L218" s="70">
        <v>12</v>
      </c>
      <c r="M218" s="70" t="s">
        <v>150</v>
      </c>
      <c r="N218" s="49" t="s">
        <v>25</v>
      </c>
      <c r="O218" s="70"/>
      <c r="P218" s="70"/>
    </row>
    <row r="219" spans="1:16" ht="15" customHeight="1">
      <c r="A219" s="92" t="s">
        <v>26</v>
      </c>
      <c r="B219" s="70"/>
      <c r="C219" s="70">
        <v>20.2</v>
      </c>
      <c r="D219" s="70"/>
      <c r="E219" s="70">
        <v>20.43</v>
      </c>
      <c r="F219" s="70">
        <v>18</v>
      </c>
      <c r="G219" s="70">
        <v>7.25</v>
      </c>
      <c r="H219" s="70">
        <v>9.33</v>
      </c>
      <c r="I219" s="70">
        <v>9.7</v>
      </c>
      <c r="J219" s="70">
        <v>10.55</v>
      </c>
      <c r="K219" s="70">
        <v>10.25</v>
      </c>
      <c r="L219" s="70">
        <v>12</v>
      </c>
      <c r="M219" s="70" t="s">
        <v>150</v>
      </c>
      <c r="N219" s="49" t="s">
        <v>26</v>
      </c>
      <c r="O219" s="70"/>
      <c r="P219" s="70"/>
    </row>
    <row r="220" spans="1:16" ht="15" customHeight="1">
      <c r="A220" s="92" t="s">
        <v>27</v>
      </c>
      <c r="B220" s="70"/>
      <c r="C220" s="70">
        <v>19.5</v>
      </c>
      <c r="D220" s="70"/>
      <c r="E220" s="70">
        <v>4.49</v>
      </c>
      <c r="F220" s="70">
        <v>18</v>
      </c>
      <c r="G220" s="70">
        <v>6.95</v>
      </c>
      <c r="H220" s="70">
        <v>9.17</v>
      </c>
      <c r="I220" s="70">
        <v>9.7</v>
      </c>
      <c r="J220" s="70">
        <v>10.55</v>
      </c>
      <c r="K220" s="70">
        <v>10.25</v>
      </c>
      <c r="L220" s="70">
        <v>12</v>
      </c>
      <c r="M220" s="70" t="s">
        <v>150</v>
      </c>
      <c r="N220" s="49" t="s">
        <v>27</v>
      </c>
      <c r="O220" s="70"/>
      <c r="P220" s="70"/>
    </row>
    <row r="221" spans="1:16" ht="15" customHeight="1">
      <c r="A221" s="92" t="s">
        <v>114</v>
      </c>
      <c r="B221" s="70"/>
      <c r="C221" s="70">
        <f>AVERAGE(C218:C220)</f>
        <v>20.06</v>
      </c>
      <c r="D221" s="70"/>
      <c r="E221" s="70">
        <f aca="true" t="shared" si="58" ref="E221:L221">AVERAGE(E218:E220)</f>
        <v>9.85</v>
      </c>
      <c r="F221" s="70">
        <f t="shared" si="58"/>
        <v>18</v>
      </c>
      <c r="G221" s="70">
        <f t="shared" si="58"/>
        <v>7.1499999999999995</v>
      </c>
      <c r="H221" s="70">
        <f t="shared" si="58"/>
        <v>9.276666666666666</v>
      </c>
      <c r="I221" s="70">
        <f t="shared" si="58"/>
        <v>9.7</v>
      </c>
      <c r="J221" s="70">
        <f t="shared" si="58"/>
        <v>10.55</v>
      </c>
      <c r="K221" s="70">
        <f t="shared" si="58"/>
        <v>10.25</v>
      </c>
      <c r="L221" s="70">
        <f t="shared" si="58"/>
        <v>12</v>
      </c>
      <c r="M221" s="70" t="s">
        <v>150</v>
      </c>
      <c r="N221" s="92" t="s">
        <v>114</v>
      </c>
      <c r="O221" s="70"/>
      <c r="P221" s="70"/>
    </row>
    <row r="222" spans="1:16" ht="15" customHeight="1">
      <c r="A222" s="92" t="s">
        <v>28</v>
      </c>
      <c r="B222" s="70"/>
      <c r="C222" s="70">
        <v>18.18</v>
      </c>
      <c r="D222" s="70"/>
      <c r="E222" s="70">
        <v>7.59</v>
      </c>
      <c r="F222" s="70">
        <v>15</v>
      </c>
      <c r="G222" s="70">
        <v>6.95</v>
      </c>
      <c r="H222" s="70">
        <v>9.17</v>
      </c>
      <c r="I222" s="70">
        <v>9.7</v>
      </c>
      <c r="J222" s="70">
        <v>10.55</v>
      </c>
      <c r="K222" s="70">
        <v>10.25</v>
      </c>
      <c r="L222" s="70">
        <v>12</v>
      </c>
      <c r="M222" s="70" t="s">
        <v>150</v>
      </c>
      <c r="N222" s="49" t="s">
        <v>28</v>
      </c>
      <c r="O222" s="70"/>
      <c r="P222" s="70"/>
    </row>
    <row r="223" spans="1:16" ht="15" customHeight="1">
      <c r="A223" s="92" t="s">
        <v>29</v>
      </c>
      <c r="B223" s="70"/>
      <c r="C223" s="70">
        <v>17.72</v>
      </c>
      <c r="D223" s="70"/>
      <c r="E223" s="70">
        <v>7.59</v>
      </c>
      <c r="F223" s="70">
        <v>16</v>
      </c>
      <c r="G223" s="70">
        <v>6.95</v>
      </c>
      <c r="H223" s="70">
        <v>9.17</v>
      </c>
      <c r="I223" s="70">
        <v>9.7</v>
      </c>
      <c r="J223" s="70">
        <v>10.55</v>
      </c>
      <c r="K223" s="70">
        <v>10.25</v>
      </c>
      <c r="L223" s="70">
        <v>12</v>
      </c>
      <c r="M223" s="70" t="s">
        <v>150</v>
      </c>
      <c r="N223" s="49" t="s">
        <v>29</v>
      </c>
      <c r="O223" s="70"/>
      <c r="P223" s="70"/>
    </row>
    <row r="224" spans="1:16" ht="15" customHeight="1">
      <c r="A224" s="92" t="s">
        <v>30</v>
      </c>
      <c r="B224" s="70"/>
      <c r="C224" s="70">
        <v>15.73</v>
      </c>
      <c r="D224" s="70"/>
      <c r="E224" s="70">
        <v>10.49</v>
      </c>
      <c r="F224" s="70">
        <v>16</v>
      </c>
      <c r="G224" s="70">
        <v>6.95</v>
      </c>
      <c r="H224" s="70">
        <v>9.17</v>
      </c>
      <c r="I224" s="70">
        <v>9.7</v>
      </c>
      <c r="J224" s="70">
        <v>10.55</v>
      </c>
      <c r="K224" s="70">
        <v>10.25</v>
      </c>
      <c r="L224" s="70">
        <v>12</v>
      </c>
      <c r="M224" s="70" t="s">
        <v>150</v>
      </c>
      <c r="N224" s="49" t="s">
        <v>30</v>
      </c>
      <c r="O224" s="70"/>
      <c r="P224" s="70"/>
    </row>
    <row r="225" spans="1:16" ht="15" customHeight="1">
      <c r="A225" s="92" t="s">
        <v>86</v>
      </c>
      <c r="B225" s="70"/>
      <c r="C225" s="70">
        <f>AVERAGE(C222:C224)</f>
        <v>17.209999999999997</v>
      </c>
      <c r="D225" s="70"/>
      <c r="E225" s="70">
        <f aca="true" t="shared" si="59" ref="E225:L225">AVERAGE(E222:E224)</f>
        <v>8.556666666666667</v>
      </c>
      <c r="F225" s="70">
        <f t="shared" si="59"/>
        <v>15.666666666666666</v>
      </c>
      <c r="G225" s="70">
        <f t="shared" si="59"/>
        <v>6.95</v>
      </c>
      <c r="H225" s="70">
        <f t="shared" si="59"/>
        <v>9.17</v>
      </c>
      <c r="I225" s="70">
        <f t="shared" si="59"/>
        <v>9.7</v>
      </c>
      <c r="J225" s="70">
        <f t="shared" si="59"/>
        <v>10.55</v>
      </c>
      <c r="K225" s="70">
        <f t="shared" si="59"/>
        <v>10.25</v>
      </c>
      <c r="L225" s="70">
        <f t="shared" si="59"/>
        <v>12</v>
      </c>
      <c r="M225" s="70" t="s">
        <v>150</v>
      </c>
      <c r="N225" s="49" t="s">
        <v>86</v>
      </c>
      <c r="O225" s="70"/>
      <c r="P225" s="70"/>
    </row>
    <row r="226" spans="1:16" ht="15" customHeight="1">
      <c r="A226" s="92" t="s">
        <v>31</v>
      </c>
      <c r="B226" s="70"/>
      <c r="C226" s="70">
        <v>14.82</v>
      </c>
      <c r="D226" s="70">
        <v>16.19</v>
      </c>
      <c r="E226" s="70">
        <v>19.92</v>
      </c>
      <c r="F226" s="70">
        <v>15</v>
      </c>
      <c r="G226" s="70">
        <v>6.95</v>
      </c>
      <c r="H226" s="70">
        <v>9.17</v>
      </c>
      <c r="I226" s="70">
        <v>9.7</v>
      </c>
      <c r="J226" s="70">
        <v>10.55</v>
      </c>
      <c r="K226" s="70">
        <v>10.25</v>
      </c>
      <c r="L226" s="70">
        <v>12</v>
      </c>
      <c r="M226" s="70" t="s">
        <v>153</v>
      </c>
      <c r="N226" s="49" t="s">
        <v>31</v>
      </c>
      <c r="O226" s="70"/>
      <c r="P226" s="70"/>
    </row>
    <row r="227" spans="1:16" ht="15" customHeight="1">
      <c r="A227" s="92" t="s">
        <v>32</v>
      </c>
      <c r="B227" s="70"/>
      <c r="C227" s="70">
        <v>14.5</v>
      </c>
      <c r="D227" s="70">
        <v>16.53</v>
      </c>
      <c r="E227" s="70">
        <v>18.97</v>
      </c>
      <c r="F227" s="70">
        <v>16</v>
      </c>
      <c r="G227" s="70">
        <v>6.95</v>
      </c>
      <c r="H227" s="70">
        <v>9.2</v>
      </c>
      <c r="I227" s="70">
        <v>9.8</v>
      </c>
      <c r="J227" s="70">
        <v>10.65</v>
      </c>
      <c r="K227" s="70">
        <v>10.25</v>
      </c>
      <c r="L227" s="70">
        <v>12.01</v>
      </c>
      <c r="M227" s="70" t="s">
        <v>153</v>
      </c>
      <c r="N227" s="49" t="s">
        <v>32</v>
      </c>
      <c r="O227" s="70"/>
      <c r="P227" s="70"/>
    </row>
    <row r="228" spans="1:16" ht="15" customHeight="1">
      <c r="A228" s="92" t="s">
        <v>33</v>
      </c>
      <c r="B228" s="70"/>
      <c r="C228" s="70">
        <v>13.97</v>
      </c>
      <c r="D228" s="70">
        <v>15.84</v>
      </c>
      <c r="E228" s="70">
        <v>19.1</v>
      </c>
      <c r="F228" s="70">
        <v>18</v>
      </c>
      <c r="G228" s="70">
        <v>6.95</v>
      </c>
      <c r="H228" s="70">
        <v>9.14</v>
      </c>
      <c r="I228" s="70">
        <v>9.81</v>
      </c>
      <c r="J228" s="70">
        <v>10.68</v>
      </c>
      <c r="K228" s="70">
        <v>10.25</v>
      </c>
      <c r="L228" s="70">
        <v>12.1</v>
      </c>
      <c r="M228" s="70" t="s">
        <v>166</v>
      </c>
      <c r="N228" s="49" t="s">
        <v>33</v>
      </c>
      <c r="O228" s="70"/>
      <c r="P228" s="70"/>
    </row>
    <row r="229" spans="1:16" ht="15" customHeight="1">
      <c r="A229" s="92" t="s">
        <v>87</v>
      </c>
      <c r="B229" s="70"/>
      <c r="C229" s="70">
        <f>AVERAGE(C226:C228)</f>
        <v>14.43</v>
      </c>
      <c r="D229" s="70">
        <f>AVERAGE(D226:D228)</f>
        <v>16.186666666666667</v>
      </c>
      <c r="E229" s="70">
        <f aca="true" t="shared" si="60" ref="E229:L229">AVERAGE(E226:E228)</f>
        <v>19.330000000000002</v>
      </c>
      <c r="F229" s="70">
        <f t="shared" si="60"/>
        <v>16.333333333333332</v>
      </c>
      <c r="G229" s="70">
        <f t="shared" si="60"/>
        <v>6.95</v>
      </c>
      <c r="H229" s="70">
        <f t="shared" si="60"/>
        <v>9.17</v>
      </c>
      <c r="I229" s="70">
        <f t="shared" si="60"/>
        <v>9.770000000000001</v>
      </c>
      <c r="J229" s="70">
        <f t="shared" si="60"/>
        <v>10.626666666666667</v>
      </c>
      <c r="K229" s="70">
        <f t="shared" si="60"/>
        <v>10.25</v>
      </c>
      <c r="L229" s="70">
        <f t="shared" si="60"/>
        <v>12.036666666666667</v>
      </c>
      <c r="M229" s="70" t="s">
        <v>153</v>
      </c>
      <c r="N229" s="49" t="s">
        <v>87</v>
      </c>
      <c r="O229" s="70"/>
      <c r="P229" s="70"/>
    </row>
    <row r="230" spans="1:16" ht="15" customHeight="1">
      <c r="A230" s="92" t="s">
        <v>35</v>
      </c>
      <c r="B230" s="70"/>
      <c r="C230" s="70">
        <v>11.66</v>
      </c>
      <c r="D230" s="70">
        <v>13.28</v>
      </c>
      <c r="E230" s="70">
        <v>16.12</v>
      </c>
      <c r="F230" s="70">
        <v>18</v>
      </c>
      <c r="G230" s="70">
        <v>6.88</v>
      </c>
      <c r="H230" s="70">
        <v>9.11</v>
      </c>
      <c r="I230" s="70">
        <v>9.79</v>
      </c>
      <c r="J230" s="70">
        <v>10.73</v>
      </c>
      <c r="K230" s="70">
        <v>10.25</v>
      </c>
      <c r="L230" s="70">
        <v>12.08</v>
      </c>
      <c r="M230" s="70" t="s">
        <v>83</v>
      </c>
      <c r="N230" s="49" t="s">
        <v>35</v>
      </c>
      <c r="O230" s="70"/>
      <c r="P230" s="70"/>
    </row>
    <row r="231" spans="1:16" ht="15" customHeight="1">
      <c r="A231" s="92" t="s">
        <v>36</v>
      </c>
      <c r="B231" s="70"/>
      <c r="C231" s="70">
        <v>9.95</v>
      </c>
      <c r="D231" s="70">
        <v>12.61</v>
      </c>
      <c r="E231" s="70">
        <v>14.23</v>
      </c>
      <c r="F231" s="70">
        <v>14</v>
      </c>
      <c r="G231" s="70">
        <v>6.71</v>
      </c>
      <c r="H231" s="70">
        <v>9.11</v>
      </c>
      <c r="I231" s="70">
        <v>9.67</v>
      </c>
      <c r="J231" s="70">
        <v>10.62</v>
      </c>
      <c r="K231" s="70">
        <v>10.38</v>
      </c>
      <c r="L231" s="70">
        <v>12.02</v>
      </c>
      <c r="M231" s="70" t="s">
        <v>83</v>
      </c>
      <c r="N231" s="49" t="s">
        <v>36</v>
      </c>
      <c r="O231" s="70"/>
      <c r="P231" s="70"/>
    </row>
    <row r="232" spans="1:16" s="93" customFormat="1" ht="15.75" customHeight="1">
      <c r="A232" s="92" t="s">
        <v>37</v>
      </c>
      <c r="B232" s="70"/>
      <c r="C232" s="70">
        <v>9.06</v>
      </c>
      <c r="D232" s="70">
        <v>11.56</v>
      </c>
      <c r="E232" s="70">
        <v>13.02</v>
      </c>
      <c r="F232" s="70">
        <v>10</v>
      </c>
      <c r="G232" s="70">
        <v>6.65</v>
      </c>
      <c r="H232" s="70">
        <v>9.11</v>
      </c>
      <c r="I232" s="70">
        <v>9.63</v>
      </c>
      <c r="J232" s="70">
        <v>10.58</v>
      </c>
      <c r="K232" s="70">
        <v>10.42</v>
      </c>
      <c r="L232" s="70">
        <v>12</v>
      </c>
      <c r="M232" s="70" t="s">
        <v>83</v>
      </c>
      <c r="N232" s="101" t="s">
        <v>37</v>
      </c>
      <c r="O232" s="70"/>
      <c r="P232" s="70"/>
    </row>
    <row r="233" spans="1:16" s="93" customFormat="1" ht="15.75" customHeight="1">
      <c r="A233" s="92" t="s">
        <v>88</v>
      </c>
      <c r="B233" s="70"/>
      <c r="C233" s="70">
        <f>AVERAGE(C230:C232)</f>
        <v>10.223333333333334</v>
      </c>
      <c r="D233" s="70">
        <f>AVERAGE(D230:D232)</f>
        <v>12.483333333333334</v>
      </c>
      <c r="E233" s="70">
        <f aca="true" t="shared" si="61" ref="E233:L233">AVERAGE(E230:E232)</f>
        <v>14.456666666666669</v>
      </c>
      <c r="F233" s="70">
        <f t="shared" si="61"/>
        <v>14</v>
      </c>
      <c r="G233" s="70">
        <f t="shared" si="61"/>
        <v>6.746666666666667</v>
      </c>
      <c r="H233" s="70">
        <f t="shared" si="61"/>
        <v>9.11</v>
      </c>
      <c r="I233" s="70">
        <f t="shared" si="61"/>
        <v>9.696666666666667</v>
      </c>
      <c r="J233" s="70">
        <f t="shared" si="61"/>
        <v>10.643333333333333</v>
      </c>
      <c r="K233" s="70">
        <f t="shared" si="61"/>
        <v>10.350000000000001</v>
      </c>
      <c r="L233" s="70">
        <f t="shared" si="61"/>
        <v>12.033333333333333</v>
      </c>
      <c r="M233" s="70" t="s">
        <v>83</v>
      </c>
      <c r="N233" s="101" t="s">
        <v>88</v>
      </c>
      <c r="O233" s="70"/>
      <c r="P233" s="70"/>
    </row>
    <row r="234" spans="1:14" ht="15" customHeight="1">
      <c r="A234" s="92"/>
      <c r="B234" s="7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60"/>
    </row>
    <row r="235" spans="1:14" ht="15" customHeight="1">
      <c r="A235" s="92"/>
      <c r="B235" s="7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60"/>
    </row>
    <row r="236" spans="1:14" ht="15" customHeight="1">
      <c r="A236" s="50">
        <v>2009</v>
      </c>
      <c r="B236" s="6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50">
        <v>2009</v>
      </c>
    </row>
    <row r="237" spans="1:14" s="93" customFormat="1" ht="15.75" customHeight="1">
      <c r="A237" s="92" t="s">
        <v>25</v>
      </c>
      <c r="B237" s="70"/>
      <c r="C237" s="70">
        <v>9.35</v>
      </c>
      <c r="D237" s="70">
        <v>11.61</v>
      </c>
      <c r="E237" s="70">
        <v>12.46</v>
      </c>
      <c r="F237" s="70">
        <v>8</v>
      </c>
      <c r="G237" s="70">
        <v>6.58</v>
      </c>
      <c r="H237" s="70">
        <v>9.11</v>
      </c>
      <c r="I237" s="70">
        <v>9.51</v>
      </c>
      <c r="J237" s="70">
        <v>10.45</v>
      </c>
      <c r="K237" s="70">
        <v>10.1</v>
      </c>
      <c r="L237" s="70">
        <v>11.86</v>
      </c>
      <c r="M237" s="70" t="s">
        <v>148</v>
      </c>
      <c r="N237" s="92" t="s">
        <v>25</v>
      </c>
    </row>
    <row r="238" spans="1:14" s="93" customFormat="1" ht="15.75" customHeight="1">
      <c r="A238" s="92" t="s">
        <v>26</v>
      </c>
      <c r="B238" s="70"/>
      <c r="C238" s="70">
        <v>9.39</v>
      </c>
      <c r="D238" s="70">
        <v>11</v>
      </c>
      <c r="E238" s="70">
        <v>12.26</v>
      </c>
      <c r="F238" s="70">
        <v>7</v>
      </c>
      <c r="G238" s="70">
        <v>6.37</v>
      </c>
      <c r="H238" s="70">
        <v>9</v>
      </c>
      <c r="I238" s="70">
        <v>9.51</v>
      </c>
      <c r="J238" s="70">
        <v>10.04</v>
      </c>
      <c r="K238" s="70">
        <v>9.33</v>
      </c>
      <c r="L238" s="70">
        <v>10.72</v>
      </c>
      <c r="M238" s="70" t="s">
        <v>148</v>
      </c>
      <c r="N238" s="92" t="s">
        <v>26</v>
      </c>
    </row>
    <row r="239" spans="1:14" s="93" customFormat="1" ht="15.75" customHeight="1">
      <c r="A239" s="92" t="s">
        <v>27</v>
      </c>
      <c r="B239" s="70"/>
      <c r="C239" s="70">
        <v>9.29</v>
      </c>
      <c r="D239" s="70">
        <v>10.39</v>
      </c>
      <c r="E239" s="70">
        <v>11.24</v>
      </c>
      <c r="F239" s="70">
        <v>10</v>
      </c>
      <c r="G239" s="70">
        <v>6.35</v>
      </c>
      <c r="H239" s="70">
        <v>8.67</v>
      </c>
      <c r="I239" s="70">
        <v>9.31</v>
      </c>
      <c r="J239" s="70">
        <v>9.88</v>
      </c>
      <c r="K239" s="70">
        <v>9.25</v>
      </c>
      <c r="L239" s="70">
        <v>11.46</v>
      </c>
      <c r="M239" s="70" t="s">
        <v>146</v>
      </c>
      <c r="N239" s="92" t="s">
        <v>27</v>
      </c>
    </row>
    <row r="240" spans="1:14" s="93" customFormat="1" ht="14.25" customHeight="1">
      <c r="A240" s="92" t="s">
        <v>114</v>
      </c>
      <c r="B240" s="70"/>
      <c r="C240" s="70">
        <f>AVERAGE(C237:C239)</f>
        <v>9.343333333333334</v>
      </c>
      <c r="D240" s="70">
        <f>AVERAGE(D237:D239)</f>
        <v>11</v>
      </c>
      <c r="E240" s="70">
        <f aca="true" t="shared" si="62" ref="E240:L240">AVERAGE(E237:E239)</f>
        <v>11.986666666666666</v>
      </c>
      <c r="F240" s="70">
        <f t="shared" si="62"/>
        <v>8.333333333333334</v>
      </c>
      <c r="G240" s="70">
        <f t="shared" si="62"/>
        <v>6.433333333333333</v>
      </c>
      <c r="H240" s="70">
        <f t="shared" si="62"/>
        <v>8.926666666666668</v>
      </c>
      <c r="I240" s="70">
        <f t="shared" si="62"/>
        <v>9.443333333333333</v>
      </c>
      <c r="J240" s="70">
        <f t="shared" si="62"/>
        <v>10.123333333333333</v>
      </c>
      <c r="K240" s="70">
        <f t="shared" si="62"/>
        <v>9.56</v>
      </c>
      <c r="L240" s="70">
        <f t="shared" si="62"/>
        <v>11.346666666666666</v>
      </c>
      <c r="M240" s="70" t="s">
        <v>148</v>
      </c>
      <c r="N240" s="92" t="s">
        <v>114</v>
      </c>
    </row>
    <row r="241" spans="1:14" s="93" customFormat="1" ht="15.75" customHeight="1">
      <c r="A241" s="92" t="s">
        <v>28</v>
      </c>
      <c r="B241" s="70"/>
      <c r="C241" s="70">
        <v>9.41</v>
      </c>
      <c r="D241" s="70">
        <v>10.52</v>
      </c>
      <c r="E241" s="70">
        <v>11.7</v>
      </c>
      <c r="F241" s="70">
        <v>10</v>
      </c>
      <c r="G241" s="70">
        <v>6.35</v>
      </c>
      <c r="H241" s="70">
        <v>8.5</v>
      </c>
      <c r="I241" s="70">
        <v>9.17</v>
      </c>
      <c r="J241" s="70">
        <v>9.73</v>
      </c>
      <c r="K241" s="70">
        <v>9.25</v>
      </c>
      <c r="L241" s="70">
        <v>11.21</v>
      </c>
      <c r="M241" s="70" t="s">
        <v>146</v>
      </c>
      <c r="N241" s="92" t="s">
        <v>28</v>
      </c>
    </row>
    <row r="242" spans="1:14" ht="18.75" customHeight="1">
      <c r="A242" s="92" t="s">
        <v>29</v>
      </c>
      <c r="B242" s="70"/>
      <c r="C242" s="70">
        <v>9.715</v>
      </c>
      <c r="D242" s="70">
        <v>10.58</v>
      </c>
      <c r="E242" s="70">
        <v>12.04</v>
      </c>
      <c r="F242" s="70">
        <v>10</v>
      </c>
      <c r="G242" s="70">
        <v>6.35</v>
      </c>
      <c r="H242" s="70">
        <v>8.5</v>
      </c>
      <c r="I242" s="70">
        <v>9.17</v>
      </c>
      <c r="J242" s="70">
        <v>9.73</v>
      </c>
      <c r="K242" s="70">
        <v>9.25</v>
      </c>
      <c r="L242" s="70">
        <v>11.21</v>
      </c>
      <c r="M242" s="70" t="s">
        <v>146</v>
      </c>
      <c r="N242" s="92" t="s">
        <v>29</v>
      </c>
    </row>
    <row r="243" spans="1:14" ht="18" customHeight="1">
      <c r="A243" s="92" t="s">
        <v>30</v>
      </c>
      <c r="B243" s="70"/>
      <c r="C243" s="70">
        <v>9.72</v>
      </c>
      <c r="D243" s="70">
        <v>10.31</v>
      </c>
      <c r="E243" s="70">
        <v>12.09</v>
      </c>
      <c r="F243" s="70">
        <v>12</v>
      </c>
      <c r="G243" s="70">
        <v>6.35</v>
      </c>
      <c r="H243" s="70">
        <v>8.5</v>
      </c>
      <c r="I243" s="70">
        <v>9.17</v>
      </c>
      <c r="J243" s="70">
        <v>9.73</v>
      </c>
      <c r="K243" s="70">
        <v>9.25</v>
      </c>
      <c r="L243" s="70">
        <v>11.21</v>
      </c>
      <c r="M243" s="70" t="s">
        <v>146</v>
      </c>
      <c r="N243" s="92" t="s">
        <v>30</v>
      </c>
    </row>
    <row r="244" spans="1:14" ht="18" customHeight="1">
      <c r="A244" s="92" t="s">
        <v>86</v>
      </c>
      <c r="B244" s="70"/>
      <c r="C244" s="70">
        <f>AVERAGE(C241:C243)</f>
        <v>9.615</v>
      </c>
      <c r="D244" s="70">
        <f>AVERAGE(D241:D243)</f>
        <v>10.47</v>
      </c>
      <c r="E244" s="70">
        <f aca="true" t="shared" si="63" ref="E244:L244">AVERAGE(E241:E243)</f>
        <v>11.943333333333333</v>
      </c>
      <c r="F244" s="70">
        <f t="shared" si="63"/>
        <v>10.666666666666666</v>
      </c>
      <c r="G244" s="70">
        <f t="shared" si="63"/>
        <v>6.349999999999999</v>
      </c>
      <c r="H244" s="70">
        <f t="shared" si="63"/>
        <v>8.5</v>
      </c>
      <c r="I244" s="70">
        <f t="shared" si="63"/>
        <v>9.17</v>
      </c>
      <c r="J244" s="70">
        <f t="shared" si="63"/>
        <v>9.73</v>
      </c>
      <c r="K244" s="70">
        <f t="shared" si="63"/>
        <v>9.25</v>
      </c>
      <c r="L244" s="70">
        <f t="shared" si="63"/>
        <v>11.21</v>
      </c>
      <c r="M244" s="77" t="s">
        <v>146</v>
      </c>
      <c r="N244" s="77" t="s">
        <v>86</v>
      </c>
    </row>
    <row r="245" spans="1:14" ht="18" customHeight="1">
      <c r="A245" s="92" t="s">
        <v>31</v>
      </c>
      <c r="B245" s="70"/>
      <c r="C245" s="70">
        <f>(9.51+9.65+9.47+9.47+9.42)/5</f>
        <v>9.504000000000001</v>
      </c>
      <c r="D245" s="70">
        <v>10.195</v>
      </c>
      <c r="E245" s="70">
        <v>11.89</v>
      </c>
      <c r="F245" s="70">
        <v>11.86</v>
      </c>
      <c r="G245" s="70">
        <v>6.35</v>
      </c>
      <c r="H245" s="70">
        <v>8.5</v>
      </c>
      <c r="I245" s="70">
        <v>9.17</v>
      </c>
      <c r="J245" s="70">
        <v>9.73</v>
      </c>
      <c r="K245" s="70">
        <v>9.25</v>
      </c>
      <c r="L245" s="70">
        <v>11.21</v>
      </c>
      <c r="M245" s="77" t="s">
        <v>146</v>
      </c>
      <c r="N245" s="77" t="s">
        <v>31</v>
      </c>
    </row>
    <row r="246" spans="1:14" ht="18" customHeight="1">
      <c r="A246" s="92" t="s">
        <v>32</v>
      </c>
      <c r="B246" s="70"/>
      <c r="C246" s="70">
        <v>9.85</v>
      </c>
      <c r="D246" s="70">
        <v>10.29</v>
      </c>
      <c r="E246" s="70">
        <v>11.95</v>
      </c>
      <c r="F246" s="70">
        <v>12</v>
      </c>
      <c r="G246" s="70">
        <v>6.35</v>
      </c>
      <c r="H246" s="70">
        <v>8.34</v>
      </c>
      <c r="I246" s="70">
        <v>9.01</v>
      </c>
      <c r="J246" s="70">
        <v>9.61</v>
      </c>
      <c r="K246" s="70">
        <v>9.25</v>
      </c>
      <c r="L246" s="70">
        <v>11.05</v>
      </c>
      <c r="M246" s="77" t="s">
        <v>146</v>
      </c>
      <c r="N246" s="77" t="s">
        <v>32</v>
      </c>
    </row>
    <row r="247" spans="1:14" ht="18" customHeight="1">
      <c r="A247" s="92" t="s">
        <v>33</v>
      </c>
      <c r="B247" s="70"/>
      <c r="C247" s="70">
        <v>10.75</v>
      </c>
      <c r="D247" s="70">
        <v>11.3</v>
      </c>
      <c r="E247" s="70">
        <v>12.32</v>
      </c>
      <c r="F247" s="70">
        <v>13</v>
      </c>
      <c r="G247" s="70">
        <v>6.32</v>
      </c>
      <c r="H247" s="70">
        <v>8.3</v>
      </c>
      <c r="I247" s="70">
        <v>8.87</v>
      </c>
      <c r="J247" s="70">
        <v>9.45</v>
      </c>
      <c r="K247" s="70">
        <v>9.25</v>
      </c>
      <c r="L247" s="70">
        <v>10.82</v>
      </c>
      <c r="M247" s="77" t="s">
        <v>146</v>
      </c>
      <c r="N247" s="77" t="s">
        <v>33</v>
      </c>
    </row>
    <row r="248" spans="1:14" ht="16.5" customHeight="1">
      <c r="A248" s="92" t="s">
        <v>87</v>
      </c>
      <c r="B248" s="70"/>
      <c r="C248" s="70">
        <f>AVERAGE(C245:C247)</f>
        <v>10.034666666666666</v>
      </c>
      <c r="D248" s="70">
        <f>AVERAGE(D245:D247)</f>
        <v>10.595</v>
      </c>
      <c r="E248" s="70">
        <f aca="true" t="shared" si="64" ref="E248:L248">AVERAGE(E245:E247)</f>
        <v>12.053333333333333</v>
      </c>
      <c r="F248" s="70">
        <f t="shared" si="64"/>
        <v>12.286666666666667</v>
      </c>
      <c r="G248" s="70">
        <f t="shared" si="64"/>
        <v>6.34</v>
      </c>
      <c r="H248" s="70">
        <f t="shared" si="64"/>
        <v>8.38</v>
      </c>
      <c r="I248" s="70">
        <f t="shared" si="64"/>
        <v>9.016666666666666</v>
      </c>
      <c r="J248" s="70">
        <f t="shared" si="64"/>
        <v>9.596666666666666</v>
      </c>
      <c r="K248" s="70">
        <f t="shared" si="64"/>
        <v>9.25</v>
      </c>
      <c r="L248" s="70">
        <f t="shared" si="64"/>
        <v>11.026666666666666</v>
      </c>
      <c r="M248" s="77" t="s">
        <v>146</v>
      </c>
      <c r="N248" s="77" t="s">
        <v>87</v>
      </c>
    </row>
    <row r="249" spans="1:14" ht="18" customHeight="1">
      <c r="A249" s="92" t="s">
        <v>35</v>
      </c>
      <c r="B249" s="70"/>
      <c r="C249" s="70">
        <v>11.88</v>
      </c>
      <c r="D249" s="70">
        <v>11.83</v>
      </c>
      <c r="E249" s="70">
        <v>14.08</v>
      </c>
      <c r="F249" s="70">
        <v>15</v>
      </c>
      <c r="G249" s="70">
        <v>6.31</v>
      </c>
      <c r="H249" s="70">
        <v>8.3</v>
      </c>
      <c r="I249" s="70">
        <v>8.7</v>
      </c>
      <c r="J249" s="70">
        <v>9.42</v>
      </c>
      <c r="K249" s="70">
        <v>9.25</v>
      </c>
      <c r="L249" s="70">
        <v>10.77</v>
      </c>
      <c r="M249" s="77" t="s">
        <v>146</v>
      </c>
      <c r="N249" s="77" t="s">
        <v>35</v>
      </c>
    </row>
    <row r="250" spans="1:14" ht="15" customHeight="1">
      <c r="A250" s="92" t="s">
        <v>36</v>
      </c>
      <c r="B250" s="70"/>
      <c r="C250" s="70">
        <v>12.79</v>
      </c>
      <c r="D250" s="70">
        <v>12.25</v>
      </c>
      <c r="E250" s="70">
        <v>14.38</v>
      </c>
      <c r="F250" s="70">
        <v>12</v>
      </c>
      <c r="G250" s="70">
        <v>6.32</v>
      </c>
      <c r="H250" s="70">
        <v>8.3</v>
      </c>
      <c r="I250" s="70">
        <v>8.87</v>
      </c>
      <c r="J250" s="70">
        <v>9.45</v>
      </c>
      <c r="K250" s="70">
        <v>9.25</v>
      </c>
      <c r="L250" s="70">
        <v>10.84</v>
      </c>
      <c r="M250" s="70" t="s">
        <v>146</v>
      </c>
      <c r="N250" s="92" t="s">
        <v>36</v>
      </c>
    </row>
    <row r="251" spans="1:14" ht="15" customHeight="1">
      <c r="A251" s="92" t="s">
        <v>37</v>
      </c>
      <c r="B251" s="70"/>
      <c r="C251" s="70">
        <v>13.99</v>
      </c>
      <c r="D251" s="70">
        <v>12.21</v>
      </c>
      <c r="E251" s="70">
        <v>14.33</v>
      </c>
      <c r="F251" s="70">
        <v>12</v>
      </c>
      <c r="G251" s="70">
        <v>6.32</v>
      </c>
      <c r="H251" s="70">
        <v>8.3</v>
      </c>
      <c r="I251" s="70">
        <v>8.87</v>
      </c>
      <c r="J251" s="70">
        <v>9.45</v>
      </c>
      <c r="K251" s="70">
        <v>9.25</v>
      </c>
      <c r="L251" s="70">
        <v>10.84</v>
      </c>
      <c r="M251" s="77" t="s">
        <v>146</v>
      </c>
      <c r="N251" s="77" t="s">
        <v>37</v>
      </c>
    </row>
    <row r="252" spans="1:14" ht="15" customHeight="1">
      <c r="A252" s="92" t="s">
        <v>88</v>
      </c>
      <c r="B252" s="70"/>
      <c r="C252" s="70">
        <f aca="true" t="shared" si="65" ref="C252:L252">AVERAGE(C249:C251)</f>
        <v>12.886666666666668</v>
      </c>
      <c r="D252" s="70">
        <f>AVERAGE(D249:D251)</f>
        <v>12.096666666666666</v>
      </c>
      <c r="E252" s="70">
        <f t="shared" si="65"/>
        <v>14.263333333333334</v>
      </c>
      <c r="F252" s="70">
        <f t="shared" si="65"/>
        <v>13</v>
      </c>
      <c r="G252" s="70">
        <f t="shared" si="65"/>
        <v>6.316666666666666</v>
      </c>
      <c r="H252" s="70">
        <f t="shared" si="65"/>
        <v>8.3</v>
      </c>
      <c r="I252" s="70">
        <f t="shared" si="65"/>
        <v>8.813333333333333</v>
      </c>
      <c r="J252" s="70">
        <f t="shared" si="65"/>
        <v>9.44</v>
      </c>
      <c r="K252" s="70">
        <f t="shared" si="65"/>
        <v>9.25</v>
      </c>
      <c r="L252" s="70">
        <f t="shared" si="65"/>
        <v>10.816666666666668</v>
      </c>
      <c r="M252" s="77" t="s">
        <v>220</v>
      </c>
      <c r="N252" s="92" t="s">
        <v>88</v>
      </c>
    </row>
    <row r="253" spans="1:14" ht="15" customHeight="1">
      <c r="A253" s="60"/>
      <c r="C253" s="70"/>
      <c r="D253" s="70"/>
      <c r="E253" s="70"/>
      <c r="F253" s="70"/>
      <c r="G253" s="70" t="s">
        <v>169</v>
      </c>
      <c r="H253" s="70"/>
      <c r="I253" s="70"/>
      <c r="J253" s="70"/>
      <c r="K253" s="70"/>
      <c r="L253" s="70"/>
      <c r="M253" s="77"/>
      <c r="N253" s="75"/>
    </row>
    <row r="254" spans="1:14" ht="15" customHeight="1">
      <c r="A254" s="50">
        <v>2010</v>
      </c>
      <c r="B254" s="6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7"/>
      <c r="N254" s="95">
        <v>2010</v>
      </c>
    </row>
    <row r="255" spans="1:14" ht="15" customHeight="1">
      <c r="A255" s="92" t="s">
        <v>25</v>
      </c>
      <c r="B255" s="70"/>
      <c r="C255" s="70">
        <v>14.72</v>
      </c>
      <c r="D255" s="70">
        <v>13.7</v>
      </c>
      <c r="E255" s="70">
        <v>14.73</v>
      </c>
      <c r="F255" s="70">
        <v>12</v>
      </c>
      <c r="G255" s="70">
        <v>6.32</v>
      </c>
      <c r="H255" s="70">
        <v>8.3</v>
      </c>
      <c r="I255" s="70">
        <v>8.87</v>
      </c>
      <c r="J255" s="70">
        <v>9.45</v>
      </c>
      <c r="K255" s="70">
        <v>9.25</v>
      </c>
      <c r="L255" s="70">
        <v>10.84</v>
      </c>
      <c r="M255" s="77" t="s">
        <v>146</v>
      </c>
      <c r="N255" s="77" t="s">
        <v>25</v>
      </c>
    </row>
    <row r="256" spans="1:14" ht="15" customHeight="1">
      <c r="A256" s="92" t="s">
        <v>26</v>
      </c>
      <c r="B256" s="70"/>
      <c r="C256" s="70">
        <v>15.47</v>
      </c>
      <c r="D256" s="70">
        <v>15.43</v>
      </c>
      <c r="E256" s="70">
        <v>14.84</v>
      </c>
      <c r="F256" s="70">
        <v>12</v>
      </c>
      <c r="G256" s="70">
        <v>6.32</v>
      </c>
      <c r="H256" s="70">
        <v>8.3</v>
      </c>
      <c r="I256" s="70">
        <v>8.87</v>
      </c>
      <c r="J256" s="70">
        <v>9.45</v>
      </c>
      <c r="K256" s="70">
        <v>9.25</v>
      </c>
      <c r="L256" s="70">
        <v>10.84</v>
      </c>
      <c r="M256" s="77" t="s">
        <v>146</v>
      </c>
      <c r="N256" s="77" t="s">
        <v>26</v>
      </c>
    </row>
    <row r="257" spans="1:14" ht="15" customHeight="1">
      <c r="A257" s="92" t="s">
        <v>27</v>
      </c>
      <c r="B257" s="70"/>
      <c r="C257" s="70">
        <v>14.55</v>
      </c>
      <c r="D257" s="70">
        <v>16.77</v>
      </c>
      <c r="E257" s="70">
        <v>14.72</v>
      </c>
      <c r="F257" s="70">
        <v>12</v>
      </c>
      <c r="G257" s="70">
        <v>6.32</v>
      </c>
      <c r="H257" s="70">
        <v>8.41</v>
      </c>
      <c r="I257" s="70">
        <v>8.99</v>
      </c>
      <c r="J257" s="70">
        <v>9.53</v>
      </c>
      <c r="K257" s="70">
        <v>9.25</v>
      </c>
      <c r="L257" s="70">
        <v>10.84</v>
      </c>
      <c r="M257" s="77" t="s">
        <v>146</v>
      </c>
      <c r="N257" s="77" t="s">
        <v>27</v>
      </c>
    </row>
    <row r="258" spans="1:14" ht="15" customHeight="1">
      <c r="A258" s="92" t="s">
        <v>114</v>
      </c>
      <c r="B258" s="70"/>
      <c r="C258" s="70">
        <f>AVERAGE(C255:C257)</f>
        <v>14.913333333333334</v>
      </c>
      <c r="D258" s="70">
        <v>15.299999999999999</v>
      </c>
      <c r="E258" s="70">
        <f aca="true" t="shared" si="66" ref="E258:L258">AVERAGE(E255:E257)</f>
        <v>14.763333333333334</v>
      </c>
      <c r="F258" s="70">
        <f t="shared" si="66"/>
        <v>12</v>
      </c>
      <c r="G258" s="70">
        <f t="shared" si="66"/>
        <v>6.32</v>
      </c>
      <c r="H258" s="70">
        <f t="shared" si="66"/>
        <v>8.336666666666668</v>
      </c>
      <c r="I258" s="70">
        <f t="shared" si="66"/>
        <v>8.909999999999998</v>
      </c>
      <c r="J258" s="70">
        <f t="shared" si="66"/>
        <v>9.476666666666667</v>
      </c>
      <c r="K258" s="70">
        <f t="shared" si="66"/>
        <v>9.25</v>
      </c>
      <c r="L258" s="70">
        <f t="shared" si="66"/>
        <v>10.839999999999998</v>
      </c>
      <c r="M258" s="77" t="s">
        <v>146</v>
      </c>
      <c r="N258" s="77" t="s">
        <v>114</v>
      </c>
    </row>
    <row r="259" spans="1:14" ht="15" customHeight="1">
      <c r="A259" s="92" t="s">
        <v>28</v>
      </c>
      <c r="B259" s="70"/>
      <c r="C259" s="70">
        <v>14.99</v>
      </c>
      <c r="D259" s="70">
        <v>17.71</v>
      </c>
      <c r="E259" s="70">
        <v>15.69</v>
      </c>
      <c r="F259" s="70">
        <v>10</v>
      </c>
      <c r="G259" s="70">
        <v>6.32</v>
      </c>
      <c r="H259" s="70">
        <v>8.41</v>
      </c>
      <c r="I259" s="70">
        <v>8.99</v>
      </c>
      <c r="J259" s="70">
        <v>9.53</v>
      </c>
      <c r="K259" s="70">
        <v>9.25</v>
      </c>
      <c r="L259" s="70">
        <v>10.84</v>
      </c>
      <c r="M259" s="77" t="s">
        <v>168</v>
      </c>
      <c r="N259" s="77" t="s">
        <v>28</v>
      </c>
    </row>
    <row r="260" spans="1:14" ht="15" customHeight="1">
      <c r="A260" s="92" t="s">
        <v>29</v>
      </c>
      <c r="B260" s="70"/>
      <c r="C260" s="70">
        <v>14.65</v>
      </c>
      <c r="D260" s="70">
        <v>18.05</v>
      </c>
      <c r="E260" s="70">
        <v>17.26</v>
      </c>
      <c r="F260" s="70">
        <v>10</v>
      </c>
      <c r="G260" s="70">
        <v>6.32</v>
      </c>
      <c r="H260" s="70">
        <v>8.41</v>
      </c>
      <c r="I260" s="70">
        <v>8.99</v>
      </c>
      <c r="J260" s="70">
        <v>9.53</v>
      </c>
      <c r="K260" s="70">
        <v>9.25</v>
      </c>
      <c r="L260" s="70">
        <v>10.84</v>
      </c>
      <c r="M260" s="77" t="s">
        <v>168</v>
      </c>
      <c r="N260" s="77" t="s">
        <v>29</v>
      </c>
    </row>
    <row r="261" spans="1:14" ht="15" customHeight="1">
      <c r="A261" s="92" t="s">
        <v>30</v>
      </c>
      <c r="B261" s="70"/>
      <c r="C261" s="70">
        <v>15.01</v>
      </c>
      <c r="D261" s="70">
        <v>19.53</v>
      </c>
      <c r="E261" s="70">
        <v>17.27</v>
      </c>
      <c r="F261" s="70">
        <v>10</v>
      </c>
      <c r="G261" s="70">
        <v>6.32</v>
      </c>
      <c r="H261" s="70">
        <v>8.41</v>
      </c>
      <c r="I261" s="70">
        <v>8.99</v>
      </c>
      <c r="J261" s="70">
        <v>9.53</v>
      </c>
      <c r="K261" s="70">
        <v>9.25</v>
      </c>
      <c r="L261" s="70">
        <v>10.84</v>
      </c>
      <c r="M261" s="77" t="s">
        <v>168</v>
      </c>
      <c r="N261" s="77" t="s">
        <v>30</v>
      </c>
    </row>
    <row r="262" spans="1:14" ht="15" customHeight="1">
      <c r="A262" s="92" t="s">
        <v>86</v>
      </c>
      <c r="B262" s="70"/>
      <c r="C262" s="70">
        <f aca="true" t="shared" si="67" ref="C262:L262">AVERAGE(C259:C261)</f>
        <v>14.883333333333333</v>
      </c>
      <c r="D262" s="70">
        <v>18.430000000000003</v>
      </c>
      <c r="E262" s="70">
        <f t="shared" si="67"/>
        <v>16.74</v>
      </c>
      <c r="F262" s="70">
        <f t="shared" si="67"/>
        <v>10</v>
      </c>
      <c r="G262" s="70">
        <f t="shared" si="67"/>
        <v>6.32</v>
      </c>
      <c r="H262" s="70">
        <f t="shared" si="67"/>
        <v>8.41</v>
      </c>
      <c r="I262" s="70">
        <f t="shared" si="67"/>
        <v>8.99</v>
      </c>
      <c r="J262" s="70">
        <f t="shared" si="67"/>
        <v>9.53</v>
      </c>
      <c r="K262" s="70">
        <f t="shared" si="67"/>
        <v>9.25</v>
      </c>
      <c r="L262" s="70">
        <f t="shared" si="67"/>
        <v>10.839999999999998</v>
      </c>
      <c r="M262" s="77" t="s">
        <v>168</v>
      </c>
      <c r="N262" s="77" t="s">
        <v>86</v>
      </c>
    </row>
    <row r="263" spans="1:14" ht="12" customHeight="1">
      <c r="A263" s="92" t="s">
        <v>31</v>
      </c>
      <c r="B263" s="70"/>
      <c r="C263" s="70">
        <v>16.35</v>
      </c>
      <c r="D263" s="70">
        <v>19.29</v>
      </c>
      <c r="E263" s="70">
        <v>17.28</v>
      </c>
      <c r="F263" s="70">
        <v>11</v>
      </c>
      <c r="G263" s="70">
        <v>6.32</v>
      </c>
      <c r="H263" s="70">
        <v>8.41</v>
      </c>
      <c r="I263" s="70">
        <v>8.99</v>
      </c>
      <c r="J263" s="70">
        <v>9.53</v>
      </c>
      <c r="K263" s="70">
        <v>9.25</v>
      </c>
      <c r="L263" s="70">
        <v>10.84</v>
      </c>
      <c r="M263" s="77" t="s">
        <v>168</v>
      </c>
      <c r="N263" s="77" t="s">
        <v>31</v>
      </c>
    </row>
    <row r="264" spans="1:14" ht="15" customHeight="1">
      <c r="A264" s="92" t="s">
        <v>32</v>
      </c>
      <c r="B264" s="70"/>
      <c r="C264" s="70">
        <v>16.98</v>
      </c>
      <c r="D264" s="70">
        <v>20.35</v>
      </c>
      <c r="E264" s="70">
        <v>17.24</v>
      </c>
      <c r="F264" s="70">
        <v>13</v>
      </c>
      <c r="G264" s="70">
        <v>6.32</v>
      </c>
      <c r="H264" s="70">
        <v>8.41</v>
      </c>
      <c r="I264" s="70">
        <v>8.99</v>
      </c>
      <c r="J264" s="70">
        <v>9.53</v>
      </c>
      <c r="K264" s="70">
        <v>9.25</v>
      </c>
      <c r="L264" s="70">
        <v>10.84</v>
      </c>
      <c r="M264" s="77" t="s">
        <v>171</v>
      </c>
      <c r="N264" s="77" t="s">
        <v>32</v>
      </c>
    </row>
    <row r="265" spans="1:14" ht="15" customHeight="1">
      <c r="A265" s="92" t="s">
        <v>33</v>
      </c>
      <c r="B265" s="70"/>
      <c r="C265" s="70">
        <v>18.1</v>
      </c>
      <c r="D265" s="70">
        <v>22.93</v>
      </c>
      <c r="E265" s="70">
        <v>17.48</v>
      </c>
      <c r="F265" s="70">
        <v>18</v>
      </c>
      <c r="G265" s="70">
        <v>6.32</v>
      </c>
      <c r="H265" s="70">
        <v>8.41</v>
      </c>
      <c r="I265" s="70">
        <v>8.99</v>
      </c>
      <c r="J265" s="70">
        <v>9.53</v>
      </c>
      <c r="K265" s="70">
        <v>9.3</v>
      </c>
      <c r="L265" s="70">
        <v>10.84</v>
      </c>
      <c r="M265" s="77" t="s">
        <v>171</v>
      </c>
      <c r="N265" s="77" t="s">
        <v>33</v>
      </c>
    </row>
    <row r="266" spans="1:14" ht="15" customHeight="1">
      <c r="A266" s="92" t="s">
        <v>87</v>
      </c>
      <c r="B266" s="70"/>
      <c r="C266" s="70">
        <f>AVERAGE(C263:C265)</f>
        <v>17.143333333333334</v>
      </c>
      <c r="D266" s="70">
        <v>20.856666666666666</v>
      </c>
      <c r="E266" s="70">
        <f aca="true" t="shared" si="68" ref="E266:L266">AVERAGE(E263:E265)</f>
        <v>17.333333333333332</v>
      </c>
      <c r="F266" s="70">
        <f t="shared" si="68"/>
        <v>14</v>
      </c>
      <c r="G266" s="70">
        <f t="shared" si="68"/>
        <v>6.32</v>
      </c>
      <c r="H266" s="70">
        <f t="shared" si="68"/>
        <v>8.41</v>
      </c>
      <c r="I266" s="70">
        <f t="shared" si="68"/>
        <v>8.99</v>
      </c>
      <c r="J266" s="70">
        <f t="shared" si="68"/>
        <v>9.53</v>
      </c>
      <c r="K266" s="70">
        <f t="shared" si="68"/>
        <v>9.266666666666667</v>
      </c>
      <c r="L266" s="70">
        <f t="shared" si="68"/>
        <v>10.839999999999998</v>
      </c>
      <c r="M266" s="77" t="s">
        <v>168</v>
      </c>
      <c r="N266" s="77" t="s">
        <v>87</v>
      </c>
    </row>
    <row r="267" spans="1:14" ht="15" customHeight="1">
      <c r="A267" s="92" t="s">
        <v>35</v>
      </c>
      <c r="B267" s="70"/>
      <c r="C267" s="70">
        <f>(19.93+20.03+20.28+18.78)/4</f>
        <v>19.755000000000003</v>
      </c>
      <c r="D267" s="70">
        <v>22.215</v>
      </c>
      <c r="E267" s="70">
        <f>(17.69+17.06)/2</f>
        <v>17.375</v>
      </c>
      <c r="F267" s="70">
        <v>20</v>
      </c>
      <c r="G267" s="70">
        <v>6.19</v>
      </c>
      <c r="H267" s="70">
        <v>8.4</v>
      </c>
      <c r="I267" s="70">
        <v>8.9</v>
      </c>
      <c r="J267" s="70">
        <v>9.33</v>
      </c>
      <c r="K267" s="70">
        <v>9.25</v>
      </c>
      <c r="L267" s="70">
        <v>10.55</v>
      </c>
      <c r="M267" s="77" t="s">
        <v>171</v>
      </c>
      <c r="N267" s="77" t="s">
        <v>35</v>
      </c>
    </row>
    <row r="268" spans="1:14" ht="15" customHeight="1">
      <c r="A268" s="92" t="s">
        <v>36</v>
      </c>
      <c r="B268" s="70"/>
      <c r="C268" s="70">
        <v>21.44</v>
      </c>
      <c r="D268" s="70">
        <v>23.28</v>
      </c>
      <c r="E268" s="70">
        <v>17.75</v>
      </c>
      <c r="F268" s="70">
        <v>20</v>
      </c>
      <c r="G268" s="70">
        <v>6.19</v>
      </c>
      <c r="H268" s="70">
        <v>8.4</v>
      </c>
      <c r="I268" s="70">
        <v>8.9</v>
      </c>
      <c r="J268" s="70">
        <v>9.33</v>
      </c>
      <c r="K268" s="70">
        <v>9.25</v>
      </c>
      <c r="L268" s="70">
        <v>10.55</v>
      </c>
      <c r="M268" s="77" t="s">
        <v>171</v>
      </c>
      <c r="N268" s="77" t="s">
        <v>36</v>
      </c>
    </row>
    <row r="269" spans="1:14" ht="15" customHeight="1">
      <c r="A269" s="92" t="s">
        <v>37</v>
      </c>
      <c r="B269" s="70"/>
      <c r="C269" s="70">
        <v>24.54</v>
      </c>
      <c r="D269" s="70">
        <v>28.35</v>
      </c>
      <c r="E269" s="70">
        <v>28.98</v>
      </c>
      <c r="F269" s="70">
        <v>22.5</v>
      </c>
      <c r="G269" s="70">
        <v>6.19</v>
      </c>
      <c r="H269" s="70">
        <v>8.4</v>
      </c>
      <c r="I269" s="70">
        <v>8.9</v>
      </c>
      <c r="J269" s="70">
        <v>9.33</v>
      </c>
      <c r="K269" s="70">
        <v>9.25</v>
      </c>
      <c r="L269" s="70">
        <v>10.55</v>
      </c>
      <c r="M269" s="77" t="s">
        <v>171</v>
      </c>
      <c r="N269" s="77" t="s">
        <v>37</v>
      </c>
    </row>
    <row r="270" spans="1:14" ht="15" customHeight="1">
      <c r="A270" s="92" t="s">
        <v>88</v>
      </c>
      <c r="B270" s="70"/>
      <c r="C270" s="70">
        <f>AVERAGE(C267:C269)</f>
        <v>21.911666666666672</v>
      </c>
      <c r="D270" s="70">
        <v>24.615</v>
      </c>
      <c r="E270" s="70">
        <f aca="true" t="shared" si="69" ref="E270:L270">AVERAGE(E267:E269)</f>
        <v>21.368333333333336</v>
      </c>
      <c r="F270" s="70">
        <f t="shared" si="69"/>
        <v>20.833333333333332</v>
      </c>
      <c r="G270" s="70">
        <f t="shared" si="69"/>
        <v>6.19</v>
      </c>
      <c r="H270" s="70">
        <f t="shared" si="69"/>
        <v>8.4</v>
      </c>
      <c r="I270" s="70">
        <f t="shared" si="69"/>
        <v>8.9</v>
      </c>
      <c r="J270" s="70">
        <f t="shared" si="69"/>
        <v>9.33</v>
      </c>
      <c r="K270" s="70">
        <f t="shared" si="69"/>
        <v>9.25</v>
      </c>
      <c r="L270" s="70">
        <f t="shared" si="69"/>
        <v>10.55</v>
      </c>
      <c r="M270" s="77" t="s">
        <v>171</v>
      </c>
      <c r="N270" s="77" t="s">
        <v>88</v>
      </c>
    </row>
    <row r="271" spans="1:14" ht="15" customHeight="1">
      <c r="A271" s="92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7"/>
      <c r="N271" s="77"/>
    </row>
    <row r="272" spans="1:14" ht="15" customHeight="1">
      <c r="A272" s="108">
        <v>2011</v>
      </c>
      <c r="B272" s="327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7"/>
      <c r="N272" s="160">
        <v>2011</v>
      </c>
    </row>
    <row r="273" spans="1:14" ht="15" customHeight="1">
      <c r="A273" s="92" t="s">
        <v>25</v>
      </c>
      <c r="B273" s="70"/>
      <c r="C273" s="70">
        <v>27.37</v>
      </c>
      <c r="D273" s="70">
        <v>31.86</v>
      </c>
      <c r="E273" s="70">
        <v>29.49</v>
      </c>
      <c r="F273" s="70">
        <v>25</v>
      </c>
      <c r="G273" s="70">
        <v>6.19</v>
      </c>
      <c r="H273" s="70">
        <v>8.89</v>
      </c>
      <c r="I273" s="70">
        <v>9.32</v>
      </c>
      <c r="J273" s="70">
        <v>9.73</v>
      </c>
      <c r="K273" s="70">
        <v>9.25</v>
      </c>
      <c r="L273" s="70">
        <v>10.97</v>
      </c>
      <c r="M273" s="77" t="s">
        <v>171</v>
      </c>
      <c r="N273" s="77" t="s">
        <v>25</v>
      </c>
    </row>
    <row r="274" spans="1:14" ht="15" customHeight="1">
      <c r="A274" s="92" t="s">
        <v>26</v>
      </c>
      <c r="B274" s="70">
        <v>26</v>
      </c>
      <c r="C274" s="70">
        <v>29.9</v>
      </c>
      <c r="D274" s="70">
        <v>34.63</v>
      </c>
      <c r="E274" s="70">
        <v>32.28</v>
      </c>
      <c r="F274" s="70">
        <v>25</v>
      </c>
      <c r="G274" s="70">
        <v>6.19</v>
      </c>
      <c r="H274" s="70">
        <v>9.06</v>
      </c>
      <c r="I274" s="70">
        <v>9.47</v>
      </c>
      <c r="J274" s="70">
        <v>9.87</v>
      </c>
      <c r="K274" s="70">
        <v>9.25</v>
      </c>
      <c r="L274" s="70">
        <v>11.19</v>
      </c>
      <c r="M274" s="77" t="s">
        <v>171</v>
      </c>
      <c r="N274" s="77" t="s">
        <v>26</v>
      </c>
    </row>
    <row r="275" spans="1:14" ht="15" customHeight="1">
      <c r="A275" s="76" t="s">
        <v>27</v>
      </c>
      <c r="B275" s="76">
        <v>23</v>
      </c>
      <c r="C275" s="76">
        <v>26.39</v>
      </c>
      <c r="D275" s="70">
        <v>32.48</v>
      </c>
      <c r="E275" s="70">
        <v>29.91</v>
      </c>
      <c r="F275" s="70">
        <v>20</v>
      </c>
      <c r="G275" s="70">
        <v>6.35</v>
      </c>
      <c r="H275" s="70">
        <v>9.23</v>
      </c>
      <c r="I275" s="70">
        <v>9.23</v>
      </c>
      <c r="J275" s="70">
        <v>10.12</v>
      </c>
      <c r="K275" s="70">
        <v>9.58</v>
      </c>
      <c r="L275" s="70">
        <v>11.54</v>
      </c>
      <c r="M275" s="77" t="s">
        <v>171</v>
      </c>
      <c r="N275" s="77" t="s">
        <v>27</v>
      </c>
    </row>
    <row r="276" spans="1:14" s="102" customFormat="1" ht="15" customHeight="1">
      <c r="A276" s="70" t="s">
        <v>28</v>
      </c>
      <c r="B276" s="92">
        <v>23</v>
      </c>
      <c r="C276" s="76">
        <v>22.87</v>
      </c>
      <c r="D276" s="70">
        <v>29.51</v>
      </c>
      <c r="E276" s="70">
        <v>21.52</v>
      </c>
      <c r="F276" s="70">
        <v>18</v>
      </c>
      <c r="G276" s="70">
        <v>6.65</v>
      </c>
      <c r="H276" s="70">
        <v>9.06</v>
      </c>
      <c r="I276" s="70">
        <v>9.92</v>
      </c>
      <c r="J276" s="70">
        <v>10.5</v>
      </c>
      <c r="K276" s="70">
        <v>10.58</v>
      </c>
      <c r="L276" s="70">
        <v>11.92</v>
      </c>
      <c r="M276" s="70" t="s">
        <v>171</v>
      </c>
      <c r="N276" s="92" t="s">
        <v>28</v>
      </c>
    </row>
    <row r="277" spans="1:16" ht="15">
      <c r="A277" s="70" t="s">
        <v>29</v>
      </c>
      <c r="B277" s="92">
        <v>23</v>
      </c>
      <c r="C277" s="76">
        <v>23.24</v>
      </c>
      <c r="D277" s="70">
        <v>30.44</v>
      </c>
      <c r="E277" s="70">
        <v>25.03</v>
      </c>
      <c r="F277" s="70">
        <v>18</v>
      </c>
      <c r="G277" s="70">
        <v>6.65</v>
      </c>
      <c r="H277" s="70">
        <v>9.06</v>
      </c>
      <c r="I277" s="70">
        <v>9.92</v>
      </c>
      <c r="J277" s="70">
        <v>10.5</v>
      </c>
      <c r="K277" s="70">
        <v>10.58</v>
      </c>
      <c r="L277" s="70">
        <v>11.92</v>
      </c>
      <c r="M277" s="70" t="s">
        <v>171</v>
      </c>
      <c r="N277" s="92" t="s">
        <v>29</v>
      </c>
      <c r="P277" s="125"/>
    </row>
    <row r="278" spans="1:16" ht="15" customHeight="1">
      <c r="A278" s="70" t="s">
        <v>30</v>
      </c>
      <c r="B278" s="92">
        <v>23</v>
      </c>
      <c r="C278" s="76">
        <v>23.38</v>
      </c>
      <c r="D278" s="70">
        <v>30.4</v>
      </c>
      <c r="E278" s="70">
        <v>25.53</v>
      </c>
      <c r="F278" s="70">
        <v>18.67</v>
      </c>
      <c r="G278" s="70">
        <v>6.62</v>
      </c>
      <c r="H278" s="70">
        <v>9.28</v>
      </c>
      <c r="I278" s="70">
        <v>10.07</v>
      </c>
      <c r="J278" s="70">
        <v>10.59</v>
      </c>
      <c r="K278" s="70">
        <v>10.5</v>
      </c>
      <c r="L278" s="70">
        <v>12.06</v>
      </c>
      <c r="M278" s="70" t="s">
        <v>171</v>
      </c>
      <c r="N278" s="92" t="s">
        <v>30</v>
      </c>
      <c r="P278" s="125"/>
    </row>
    <row r="279" spans="1:16" ht="15" customHeight="1">
      <c r="A279" s="70" t="s">
        <v>31</v>
      </c>
      <c r="B279" s="92">
        <v>23</v>
      </c>
      <c r="C279" s="76">
        <v>23.27</v>
      </c>
      <c r="D279" s="70">
        <v>29.81</v>
      </c>
      <c r="E279" s="70">
        <v>25.71</v>
      </c>
      <c r="F279" s="70">
        <v>18</v>
      </c>
      <c r="G279" s="70">
        <v>6.48</v>
      </c>
      <c r="H279" s="70">
        <v>9.15</v>
      </c>
      <c r="I279" s="70">
        <v>9.89</v>
      </c>
      <c r="J279" s="70">
        <v>10.45</v>
      </c>
      <c r="K279" s="70">
        <v>10.25</v>
      </c>
      <c r="L279" s="70">
        <v>11.91</v>
      </c>
      <c r="M279" s="70" t="s">
        <v>179</v>
      </c>
      <c r="N279" s="92" t="s">
        <v>31</v>
      </c>
      <c r="P279" s="125"/>
    </row>
    <row r="280" spans="1:16" ht="15" customHeight="1">
      <c r="A280" s="70" t="s">
        <v>32</v>
      </c>
      <c r="B280" s="92">
        <v>23</v>
      </c>
      <c r="C280" s="76">
        <v>23.2</v>
      </c>
      <c r="D280" s="70">
        <v>29.59</v>
      </c>
      <c r="E280" s="70">
        <v>25.73</v>
      </c>
      <c r="F280" s="70">
        <v>18</v>
      </c>
      <c r="G280" s="70">
        <v>6.48</v>
      </c>
      <c r="H280" s="70">
        <v>9.15</v>
      </c>
      <c r="I280" s="70">
        <v>9.89</v>
      </c>
      <c r="J280" s="70">
        <v>10.39</v>
      </c>
      <c r="K280" s="70">
        <v>10.25</v>
      </c>
      <c r="L280" s="70">
        <v>11.91</v>
      </c>
      <c r="M280" s="70" t="s">
        <v>179</v>
      </c>
      <c r="N280" s="92" t="s">
        <v>32</v>
      </c>
      <c r="P280" s="125"/>
    </row>
    <row r="281" spans="1:16" ht="15" customHeight="1">
      <c r="A281" s="70" t="s">
        <v>33</v>
      </c>
      <c r="B281" s="92">
        <v>23</v>
      </c>
      <c r="C281" s="76">
        <v>23.25</v>
      </c>
      <c r="D281" s="70">
        <v>29.27</v>
      </c>
      <c r="E281" s="70">
        <v>25.84</v>
      </c>
      <c r="F281" s="70">
        <v>18</v>
      </c>
      <c r="G281" s="70">
        <v>6.42</v>
      </c>
      <c r="H281" s="70">
        <v>9.15</v>
      </c>
      <c r="I281" s="70">
        <v>9.75</v>
      </c>
      <c r="J281" s="70">
        <v>10.39</v>
      </c>
      <c r="K281" s="70">
        <v>10.25</v>
      </c>
      <c r="L281" s="70">
        <v>11.91</v>
      </c>
      <c r="M281" s="70" t="s">
        <v>168</v>
      </c>
      <c r="N281" s="92" t="s">
        <v>33</v>
      </c>
      <c r="P281" s="125"/>
    </row>
    <row r="282" spans="1:16" ht="15" customHeight="1">
      <c r="A282" s="70" t="s">
        <v>35</v>
      </c>
      <c r="B282" s="92">
        <v>20</v>
      </c>
      <c r="C282" s="76">
        <v>23.44</v>
      </c>
      <c r="D282" s="70">
        <v>29.05</v>
      </c>
      <c r="E282" s="70">
        <v>27.5</v>
      </c>
      <c r="F282" s="70">
        <v>18</v>
      </c>
      <c r="G282" s="70">
        <v>6.42</v>
      </c>
      <c r="H282" s="70">
        <v>9.15</v>
      </c>
      <c r="I282" s="70">
        <v>9.75</v>
      </c>
      <c r="J282" s="70">
        <v>10.39</v>
      </c>
      <c r="K282" s="70">
        <v>10.25</v>
      </c>
      <c r="L282" s="70">
        <v>11.91</v>
      </c>
      <c r="M282" s="70" t="s">
        <v>168</v>
      </c>
      <c r="N282" s="92" t="s">
        <v>35</v>
      </c>
      <c r="P282" s="125"/>
    </row>
    <row r="283" spans="1:16" ht="15" customHeight="1">
      <c r="A283" s="70" t="s">
        <v>36</v>
      </c>
      <c r="B283" s="92">
        <v>20</v>
      </c>
      <c r="C283" s="76">
        <v>23.61</v>
      </c>
      <c r="D283" s="70">
        <v>28.94</v>
      </c>
      <c r="E283" s="70">
        <v>28.92</v>
      </c>
      <c r="F283" s="70">
        <v>19</v>
      </c>
      <c r="G283" s="70">
        <v>6.42</v>
      </c>
      <c r="H283" s="70">
        <v>9.16</v>
      </c>
      <c r="I283" s="70">
        <v>9.75</v>
      </c>
      <c r="J283" s="70">
        <v>10.39</v>
      </c>
      <c r="K283" s="70">
        <v>10.25</v>
      </c>
      <c r="L283" s="70">
        <v>11.91</v>
      </c>
      <c r="M283" s="70" t="s">
        <v>168</v>
      </c>
      <c r="N283" s="92" t="s">
        <v>36</v>
      </c>
      <c r="P283" s="125"/>
    </row>
    <row r="284" spans="1:16" ht="15" customHeight="1">
      <c r="A284" s="70" t="s">
        <v>37</v>
      </c>
      <c r="B284" s="92">
        <v>20</v>
      </c>
      <c r="C284" s="76">
        <v>23.42</v>
      </c>
      <c r="D284" s="70">
        <v>29.55</v>
      </c>
      <c r="E284" s="70">
        <v>28.63</v>
      </c>
      <c r="F284" s="70">
        <v>20</v>
      </c>
      <c r="G284" s="70">
        <v>6.42</v>
      </c>
      <c r="H284" s="70">
        <v>9.16</v>
      </c>
      <c r="I284" s="70">
        <v>9.75</v>
      </c>
      <c r="J284" s="70">
        <v>10.39</v>
      </c>
      <c r="K284" s="70">
        <v>10.25</v>
      </c>
      <c r="L284" s="70">
        <v>11.91</v>
      </c>
      <c r="M284" s="70" t="s">
        <v>168</v>
      </c>
      <c r="N284" s="92" t="s">
        <v>37</v>
      </c>
      <c r="P284" s="125"/>
    </row>
    <row r="285" spans="1:14" ht="15" customHeight="1">
      <c r="A285" s="39"/>
      <c r="B285" s="50"/>
      <c r="C285" s="76"/>
      <c r="D285" s="70"/>
      <c r="F285" s="70"/>
      <c r="G285" s="70"/>
      <c r="H285" s="70"/>
      <c r="I285" s="70" t="s">
        <v>172</v>
      </c>
      <c r="J285" s="70"/>
      <c r="K285" s="70"/>
      <c r="L285" s="70"/>
      <c r="M285" s="70"/>
      <c r="N285" s="108"/>
    </row>
    <row r="286" spans="1:14" ht="15" customHeight="1">
      <c r="A286" s="108">
        <v>2012</v>
      </c>
      <c r="B286" s="328"/>
      <c r="C286" s="76"/>
      <c r="D286" s="70"/>
      <c r="F286" s="70"/>
      <c r="G286" s="70"/>
      <c r="H286" s="70"/>
      <c r="I286" s="70"/>
      <c r="J286" s="70"/>
      <c r="K286" s="70"/>
      <c r="L286" s="70"/>
      <c r="M286" s="70"/>
      <c r="N286" s="108">
        <v>2012</v>
      </c>
    </row>
    <row r="287" spans="1:14" ht="15" customHeight="1">
      <c r="A287" s="76" t="s">
        <v>25</v>
      </c>
      <c r="B287" s="76">
        <v>20</v>
      </c>
      <c r="C287" s="76">
        <v>23.13</v>
      </c>
      <c r="D287" s="70">
        <v>28.88</v>
      </c>
      <c r="E287" s="70">
        <v>28.96</v>
      </c>
      <c r="F287" s="70">
        <v>20</v>
      </c>
      <c r="G287" s="70">
        <v>6.42</v>
      </c>
      <c r="H287" s="70">
        <v>9.16</v>
      </c>
      <c r="I287" s="70">
        <v>9.75</v>
      </c>
      <c r="J287" s="70">
        <v>10.39</v>
      </c>
      <c r="K287" s="70">
        <v>10.25</v>
      </c>
      <c r="L287" s="70">
        <v>11.91</v>
      </c>
      <c r="M287" s="77" t="s">
        <v>168</v>
      </c>
      <c r="N287" s="92" t="s">
        <v>25</v>
      </c>
    </row>
    <row r="288" spans="1:14" s="169" customFormat="1" ht="15" customHeight="1">
      <c r="A288" s="76" t="s">
        <v>26</v>
      </c>
      <c r="B288" s="76">
        <v>20</v>
      </c>
      <c r="C288" s="76">
        <v>23.47</v>
      </c>
      <c r="D288" s="70">
        <v>28.71</v>
      </c>
      <c r="E288" s="70">
        <v>29.48</v>
      </c>
      <c r="F288" s="70">
        <v>20</v>
      </c>
      <c r="G288" s="70">
        <v>6.42</v>
      </c>
      <c r="H288" s="70">
        <v>9.16</v>
      </c>
      <c r="I288" s="70">
        <v>9.75</v>
      </c>
      <c r="J288" s="70">
        <v>10.39</v>
      </c>
      <c r="K288" s="70">
        <v>10.25</v>
      </c>
      <c r="L288" s="70">
        <v>11.91</v>
      </c>
      <c r="M288" s="77" t="s">
        <v>168</v>
      </c>
      <c r="N288" s="92" t="s">
        <v>26</v>
      </c>
    </row>
    <row r="289" spans="1:14" s="169" customFormat="1" ht="15" customHeight="1">
      <c r="A289" s="76" t="s">
        <v>27</v>
      </c>
      <c r="B289" s="76">
        <v>20</v>
      </c>
      <c r="C289" s="76">
        <v>23.39</v>
      </c>
      <c r="D289" s="70">
        <v>28.75</v>
      </c>
      <c r="E289" s="70">
        <v>29.58</v>
      </c>
      <c r="F289" s="70">
        <v>20</v>
      </c>
      <c r="G289" s="70">
        <v>6.42</v>
      </c>
      <c r="H289" s="70">
        <v>9.16</v>
      </c>
      <c r="I289" s="70">
        <v>9.75</v>
      </c>
      <c r="J289" s="70">
        <v>10.39</v>
      </c>
      <c r="K289" s="70">
        <v>10.25</v>
      </c>
      <c r="L289" s="70">
        <v>11.91</v>
      </c>
      <c r="M289" s="77" t="s">
        <v>168</v>
      </c>
      <c r="N289" s="92" t="s">
        <v>27</v>
      </c>
    </row>
    <row r="290" spans="1:14" s="169" customFormat="1" ht="15" customHeight="1">
      <c r="A290" s="76" t="s">
        <v>28</v>
      </c>
      <c r="B290" s="76">
        <v>20</v>
      </c>
      <c r="C290" s="76">
        <v>23.51</v>
      </c>
      <c r="D290" s="70">
        <v>28.57</v>
      </c>
      <c r="E290" s="70">
        <v>29.5</v>
      </c>
      <c r="F290" s="70">
        <v>20</v>
      </c>
      <c r="G290" s="70">
        <v>6.42</v>
      </c>
      <c r="H290" s="70">
        <v>9.16</v>
      </c>
      <c r="I290" s="70">
        <v>9.75</v>
      </c>
      <c r="J290" s="70">
        <v>10.39</v>
      </c>
      <c r="K290" s="70">
        <v>10.25</v>
      </c>
      <c r="L290" s="70">
        <v>11.91</v>
      </c>
      <c r="M290" s="77" t="s">
        <v>168</v>
      </c>
      <c r="N290" s="92" t="s">
        <v>28</v>
      </c>
    </row>
    <row r="291" spans="1:14" s="169" customFormat="1" ht="15" customHeight="1">
      <c r="A291" s="76" t="s">
        <v>29</v>
      </c>
      <c r="B291" s="76">
        <v>20</v>
      </c>
      <c r="C291" s="76">
        <v>23.44</v>
      </c>
      <c r="D291" s="70">
        <v>27.59</v>
      </c>
      <c r="E291" s="70">
        <v>28.89</v>
      </c>
      <c r="F291" s="70">
        <v>20</v>
      </c>
      <c r="G291" s="70">
        <v>6.42</v>
      </c>
      <c r="H291" s="70">
        <v>9.16</v>
      </c>
      <c r="I291" s="70">
        <v>9.75</v>
      </c>
      <c r="J291" s="70">
        <v>10.39</v>
      </c>
      <c r="K291" s="70">
        <v>10.25</v>
      </c>
      <c r="L291" s="70">
        <v>11.91</v>
      </c>
      <c r="M291" s="77" t="s">
        <v>168</v>
      </c>
      <c r="N291" s="92" t="s">
        <v>29</v>
      </c>
    </row>
    <row r="292" spans="1:14" s="189" customFormat="1" ht="15" customHeight="1">
      <c r="A292" s="76" t="s">
        <v>30</v>
      </c>
      <c r="B292" s="76">
        <v>20</v>
      </c>
      <c r="C292" s="76">
        <v>23.25</v>
      </c>
      <c r="D292" s="70">
        <v>27.64</v>
      </c>
      <c r="E292" s="70">
        <v>29.14</v>
      </c>
      <c r="F292" s="70">
        <v>20</v>
      </c>
      <c r="G292" s="70">
        <v>6.42</v>
      </c>
      <c r="H292" s="70">
        <v>9.16</v>
      </c>
      <c r="I292" s="70">
        <v>9.75</v>
      </c>
      <c r="J292" s="70">
        <v>10.39</v>
      </c>
      <c r="K292" s="70">
        <v>10.25</v>
      </c>
      <c r="L292" s="70">
        <v>11.91</v>
      </c>
      <c r="M292" s="77" t="s">
        <v>168</v>
      </c>
      <c r="N292" s="92" t="s">
        <v>30</v>
      </c>
    </row>
    <row r="293" spans="1:14" ht="18" customHeight="1">
      <c r="A293" s="92" t="s">
        <v>31</v>
      </c>
      <c r="B293" s="76">
        <v>20</v>
      </c>
      <c r="C293" s="76">
        <v>22.84</v>
      </c>
      <c r="D293" s="70">
        <v>27.45</v>
      </c>
      <c r="E293" s="70">
        <v>28.92</v>
      </c>
      <c r="F293" s="70">
        <v>20</v>
      </c>
      <c r="G293" s="70">
        <v>6.42</v>
      </c>
      <c r="H293" s="70">
        <v>9.16</v>
      </c>
      <c r="I293" s="70">
        <v>9.75</v>
      </c>
      <c r="J293" s="70">
        <v>10.39</v>
      </c>
      <c r="K293" s="70">
        <v>10.25</v>
      </c>
      <c r="L293" s="70">
        <v>11.91</v>
      </c>
      <c r="M293" s="77" t="s">
        <v>168</v>
      </c>
      <c r="N293" s="92" t="s">
        <v>31</v>
      </c>
    </row>
    <row r="294" spans="1:14" ht="17.25" customHeight="1">
      <c r="A294" s="92" t="s">
        <v>32</v>
      </c>
      <c r="B294" s="76">
        <v>20</v>
      </c>
      <c r="C294" s="76">
        <v>22.81</v>
      </c>
      <c r="D294" s="70">
        <v>27.59</v>
      </c>
      <c r="E294" s="70">
        <v>28.25</v>
      </c>
      <c r="F294" s="70">
        <v>20</v>
      </c>
      <c r="G294" s="70">
        <v>6.42</v>
      </c>
      <c r="H294" s="70">
        <v>9.16</v>
      </c>
      <c r="I294" s="70">
        <v>9.75</v>
      </c>
      <c r="J294" s="70">
        <v>10.39</v>
      </c>
      <c r="K294" s="70">
        <v>10.25</v>
      </c>
      <c r="L294" s="70">
        <v>11.91</v>
      </c>
      <c r="M294" s="77" t="s">
        <v>168</v>
      </c>
      <c r="N294" s="92" t="s">
        <v>32</v>
      </c>
    </row>
    <row r="295" spans="1:14" s="104" customFormat="1" ht="15" customHeight="1">
      <c r="A295" s="92" t="s">
        <v>33</v>
      </c>
      <c r="B295" s="76">
        <v>20</v>
      </c>
      <c r="C295" s="76">
        <v>22.64</v>
      </c>
      <c r="D295" s="70">
        <v>27.59</v>
      </c>
      <c r="E295" s="70">
        <v>28.66</v>
      </c>
      <c r="F295" s="70">
        <v>20</v>
      </c>
      <c r="G295" s="70">
        <v>6.42</v>
      </c>
      <c r="H295" s="70">
        <v>9.16</v>
      </c>
      <c r="I295" s="70">
        <v>9.75</v>
      </c>
      <c r="J295" s="70">
        <v>10.39</v>
      </c>
      <c r="K295" s="70">
        <v>10.25</v>
      </c>
      <c r="L295" s="70">
        <v>11.91</v>
      </c>
      <c r="M295" s="77" t="s">
        <v>168</v>
      </c>
      <c r="N295" s="92" t="s">
        <v>33</v>
      </c>
    </row>
    <row r="296" spans="1:14" ht="15" customHeight="1">
      <c r="A296" s="92" t="s">
        <v>35</v>
      </c>
      <c r="B296" s="76">
        <v>20</v>
      </c>
      <c r="C296" s="76">
        <v>22.12</v>
      </c>
      <c r="D296" s="70">
        <v>27.59</v>
      </c>
      <c r="E296" s="70">
        <v>28.58</v>
      </c>
      <c r="F296" s="70">
        <v>20</v>
      </c>
      <c r="G296" s="70">
        <v>6.42</v>
      </c>
      <c r="H296" s="70">
        <v>9.16</v>
      </c>
      <c r="I296" s="70">
        <v>9.75</v>
      </c>
      <c r="J296" s="70">
        <v>10.39</v>
      </c>
      <c r="K296" s="70">
        <v>10.25</v>
      </c>
      <c r="L296" s="70">
        <v>11.91</v>
      </c>
      <c r="M296" s="77" t="s">
        <v>168</v>
      </c>
      <c r="N296" s="92" t="s">
        <v>35</v>
      </c>
    </row>
    <row r="297" spans="1:14" ht="15" customHeight="1">
      <c r="A297" s="92" t="s">
        <v>36</v>
      </c>
      <c r="B297" s="76">
        <v>20</v>
      </c>
      <c r="C297" s="76">
        <v>19.17</v>
      </c>
      <c r="D297" s="70">
        <v>25.08</v>
      </c>
      <c r="E297" s="70">
        <v>25.7</v>
      </c>
      <c r="F297" s="70">
        <v>20</v>
      </c>
      <c r="G297" s="70">
        <v>6.42</v>
      </c>
      <c r="H297" s="70">
        <v>9.16</v>
      </c>
      <c r="I297" s="70">
        <v>9.75</v>
      </c>
      <c r="J297" s="70">
        <v>10.39</v>
      </c>
      <c r="K297" s="70">
        <v>10.25</v>
      </c>
      <c r="L297" s="70">
        <v>11.91</v>
      </c>
      <c r="M297" s="77" t="s">
        <v>168</v>
      </c>
      <c r="N297" s="92" t="s">
        <v>36</v>
      </c>
    </row>
    <row r="298" spans="1:14" ht="15" customHeight="1">
      <c r="A298" s="92" t="s">
        <v>37</v>
      </c>
      <c r="B298" s="76">
        <v>20</v>
      </c>
      <c r="C298" s="76">
        <v>18.99</v>
      </c>
      <c r="D298" s="70">
        <v>25.48</v>
      </c>
      <c r="E298" s="70">
        <v>25.83</v>
      </c>
      <c r="F298" s="70">
        <v>20</v>
      </c>
      <c r="G298" s="70">
        <v>6.42</v>
      </c>
      <c r="H298" s="70">
        <v>9.16</v>
      </c>
      <c r="I298" s="70">
        <v>9.75</v>
      </c>
      <c r="J298" s="70">
        <v>10.39</v>
      </c>
      <c r="K298" s="70">
        <v>10.25</v>
      </c>
      <c r="L298" s="70">
        <v>11.91</v>
      </c>
      <c r="M298" s="77" t="s">
        <v>168</v>
      </c>
      <c r="N298" s="92" t="s">
        <v>37</v>
      </c>
    </row>
    <row r="299" spans="3:14" ht="15" customHeight="1">
      <c r="C299" s="193"/>
      <c r="E299" s="186"/>
      <c r="N299" s="60"/>
    </row>
    <row r="300" spans="1:14" s="227" customFormat="1" ht="15" customHeight="1">
      <c r="A300" s="108">
        <v>2013</v>
      </c>
      <c r="B300" s="327"/>
      <c r="C300" s="247"/>
      <c r="D300" s="247"/>
      <c r="F300" s="247"/>
      <c r="G300" s="247"/>
      <c r="H300" s="247"/>
      <c r="I300" s="247"/>
      <c r="J300" s="247"/>
      <c r="K300" s="247"/>
      <c r="L300" s="247"/>
      <c r="M300" s="247"/>
      <c r="N300" s="108">
        <v>2013</v>
      </c>
    </row>
    <row r="301" spans="1:14" s="227" customFormat="1" ht="15" customHeight="1">
      <c r="A301" s="92" t="s">
        <v>25</v>
      </c>
      <c r="B301" s="70">
        <v>20</v>
      </c>
      <c r="C301" s="70">
        <v>19.26</v>
      </c>
      <c r="D301" s="70">
        <v>26.25</v>
      </c>
      <c r="E301" s="70">
        <v>25.62</v>
      </c>
      <c r="F301" s="70">
        <v>20</v>
      </c>
      <c r="G301" s="70">
        <v>6.42</v>
      </c>
      <c r="H301" s="70">
        <v>9.16</v>
      </c>
      <c r="I301" s="70">
        <v>9.75</v>
      </c>
      <c r="J301" s="70">
        <v>10.39</v>
      </c>
      <c r="K301" s="70">
        <v>10.25</v>
      </c>
      <c r="L301" s="70">
        <v>11.91</v>
      </c>
      <c r="M301" s="77" t="s">
        <v>168</v>
      </c>
      <c r="N301" s="92" t="s">
        <v>25</v>
      </c>
    </row>
    <row r="302" spans="1:14" s="227" customFormat="1" ht="15" customHeight="1">
      <c r="A302" s="92" t="s">
        <v>26</v>
      </c>
      <c r="B302" s="70">
        <v>20</v>
      </c>
      <c r="C302" s="70">
        <v>18.93</v>
      </c>
      <c r="D302" s="70">
        <v>25.16</v>
      </c>
      <c r="E302" s="70">
        <v>24.95</v>
      </c>
      <c r="F302" s="70">
        <v>20</v>
      </c>
      <c r="G302" s="70">
        <v>6.42</v>
      </c>
      <c r="H302" s="70">
        <v>9.16</v>
      </c>
      <c r="I302" s="70">
        <v>9.75</v>
      </c>
      <c r="J302" s="70">
        <v>10.39</v>
      </c>
      <c r="K302" s="70">
        <v>10.25</v>
      </c>
      <c r="L302" s="70">
        <v>11.91</v>
      </c>
      <c r="M302" s="77" t="s">
        <v>168</v>
      </c>
      <c r="N302" s="92" t="s">
        <v>26</v>
      </c>
    </row>
    <row r="303" spans="1:14" s="227" customFormat="1" ht="15" customHeight="1">
      <c r="A303" s="92" t="s">
        <v>27</v>
      </c>
      <c r="B303" s="70">
        <v>20</v>
      </c>
      <c r="C303" s="70">
        <v>14.4</v>
      </c>
      <c r="D303" s="70">
        <v>18.48</v>
      </c>
      <c r="E303" s="70">
        <v>21.99</v>
      </c>
      <c r="F303" s="70">
        <v>20</v>
      </c>
      <c r="G303" s="70">
        <v>6.42</v>
      </c>
      <c r="H303" s="70">
        <v>9.16</v>
      </c>
      <c r="I303" s="70">
        <v>9.75</v>
      </c>
      <c r="J303" s="70">
        <v>10.39</v>
      </c>
      <c r="K303" s="70">
        <v>10.25</v>
      </c>
      <c r="L303" s="70">
        <v>11.91</v>
      </c>
      <c r="M303" s="77" t="s">
        <v>168</v>
      </c>
      <c r="N303" s="92" t="s">
        <v>27</v>
      </c>
    </row>
    <row r="304" spans="1:16" ht="15" customHeight="1">
      <c r="A304" s="92" t="s">
        <v>28</v>
      </c>
      <c r="B304" s="70">
        <v>17</v>
      </c>
      <c r="C304" s="70">
        <v>9.68</v>
      </c>
      <c r="D304" s="70">
        <v>11.2</v>
      </c>
      <c r="E304" s="70">
        <v>15.07</v>
      </c>
      <c r="F304" s="249">
        <v>16.5</v>
      </c>
      <c r="G304" s="70">
        <v>6.42</v>
      </c>
      <c r="H304" s="70">
        <v>9.16</v>
      </c>
      <c r="I304" s="70">
        <v>9.75</v>
      </c>
      <c r="J304" s="70">
        <v>10.39</v>
      </c>
      <c r="K304" s="70">
        <v>10.25</v>
      </c>
      <c r="L304" s="70">
        <v>11.91</v>
      </c>
      <c r="M304" s="77" t="s">
        <v>168</v>
      </c>
      <c r="N304" s="92" t="s">
        <v>28</v>
      </c>
      <c r="O304" s="227"/>
      <c r="P304" s="227"/>
    </row>
    <row r="305" spans="1:16" ht="15" customHeight="1">
      <c r="A305" s="92" t="s">
        <v>29</v>
      </c>
      <c r="B305" s="70">
        <v>17</v>
      </c>
      <c r="C305" s="70">
        <v>6.01</v>
      </c>
      <c r="D305" s="70">
        <v>9.16</v>
      </c>
      <c r="E305" s="70">
        <v>10.76</v>
      </c>
      <c r="F305" s="70">
        <v>10</v>
      </c>
      <c r="G305" s="70">
        <v>6.31</v>
      </c>
      <c r="H305" s="70">
        <v>8.2</v>
      </c>
      <c r="I305" s="70">
        <v>9.01</v>
      </c>
      <c r="J305" s="70">
        <v>9.68</v>
      </c>
      <c r="K305" s="70">
        <v>10.25</v>
      </c>
      <c r="L305" s="70">
        <v>11.1</v>
      </c>
      <c r="M305" s="77" t="s">
        <v>168</v>
      </c>
      <c r="N305" s="92" t="s">
        <v>29</v>
      </c>
      <c r="O305" s="227"/>
      <c r="P305" s="227"/>
    </row>
    <row r="306" spans="1:16" ht="15" customHeight="1">
      <c r="A306" s="92" t="s">
        <v>30</v>
      </c>
      <c r="B306" s="70">
        <v>15</v>
      </c>
      <c r="C306" s="70">
        <v>5.37</v>
      </c>
      <c r="D306" s="70">
        <v>8.14</v>
      </c>
      <c r="E306" s="70">
        <v>9.69</v>
      </c>
      <c r="F306" s="70">
        <v>9</v>
      </c>
      <c r="G306" s="70">
        <v>6.19</v>
      </c>
      <c r="H306" s="70">
        <v>7.69</v>
      </c>
      <c r="I306" s="70">
        <v>8.18</v>
      </c>
      <c r="J306" s="70">
        <v>9.17</v>
      </c>
      <c r="K306" s="70">
        <v>10.25</v>
      </c>
      <c r="L306" s="70">
        <v>10.72</v>
      </c>
      <c r="M306" s="77" t="s">
        <v>221</v>
      </c>
      <c r="N306" s="92" t="s">
        <v>30</v>
      </c>
      <c r="O306" s="227"/>
      <c r="P306" s="227"/>
    </row>
    <row r="307" spans="1:16" ht="15" customHeight="1">
      <c r="A307" s="92" t="s">
        <v>31</v>
      </c>
      <c r="B307" s="70">
        <v>15</v>
      </c>
      <c r="C307" s="70">
        <v>5.52</v>
      </c>
      <c r="D307" s="70">
        <v>7.44</v>
      </c>
      <c r="E307" s="70">
        <v>8.88</v>
      </c>
      <c r="F307" s="70">
        <v>6</v>
      </c>
      <c r="G307" s="70">
        <v>6.19</v>
      </c>
      <c r="H307" s="70">
        <v>7.69</v>
      </c>
      <c r="I307" s="70">
        <v>8.18</v>
      </c>
      <c r="J307" s="70">
        <v>9.17</v>
      </c>
      <c r="K307" s="70">
        <v>10.25</v>
      </c>
      <c r="L307" s="70">
        <v>10.72</v>
      </c>
      <c r="M307" s="77" t="s">
        <v>221</v>
      </c>
      <c r="N307" s="92" t="s">
        <v>31</v>
      </c>
      <c r="O307" s="227"/>
      <c r="P307" s="227"/>
    </row>
    <row r="308" spans="1:14" s="189" customFormat="1" ht="15" customHeight="1">
      <c r="A308" s="92" t="s">
        <v>32</v>
      </c>
      <c r="B308" s="70">
        <v>12</v>
      </c>
      <c r="C308" s="70">
        <v>3.9</v>
      </c>
      <c r="D308" s="70">
        <v>7.5</v>
      </c>
      <c r="E308" s="70">
        <v>9.1</v>
      </c>
      <c r="F308" s="70">
        <v>6</v>
      </c>
      <c r="G308" s="70">
        <v>5.83</v>
      </c>
      <c r="H308" s="70">
        <v>7.28</v>
      </c>
      <c r="I308" s="70">
        <v>7.51</v>
      </c>
      <c r="J308" s="70">
        <v>8.63</v>
      </c>
      <c r="K308" s="70">
        <v>9.33</v>
      </c>
      <c r="L308" s="70">
        <v>9.99</v>
      </c>
      <c r="M308" s="70" t="s">
        <v>224</v>
      </c>
      <c r="N308" s="92" t="s">
        <v>32</v>
      </c>
    </row>
    <row r="309" spans="1:14" s="189" customFormat="1" ht="15" customHeight="1">
      <c r="A309" s="92" t="s">
        <v>33</v>
      </c>
      <c r="B309" s="70">
        <v>12</v>
      </c>
      <c r="C309" s="70">
        <v>3.39</v>
      </c>
      <c r="D309" s="70">
        <v>7.05</v>
      </c>
      <c r="E309" s="70">
        <v>9.24</v>
      </c>
      <c r="F309" s="70">
        <v>6</v>
      </c>
      <c r="G309" s="70">
        <v>5.13</v>
      </c>
      <c r="H309" s="70">
        <v>7.13</v>
      </c>
      <c r="I309" s="70">
        <v>6.93</v>
      </c>
      <c r="J309" s="70">
        <v>7.85</v>
      </c>
      <c r="K309" s="70">
        <v>6.13</v>
      </c>
      <c r="L309" s="70">
        <v>9.1</v>
      </c>
      <c r="M309" s="70" t="s">
        <v>222</v>
      </c>
      <c r="N309" s="92" t="s">
        <v>33</v>
      </c>
    </row>
    <row r="310" spans="1:14" s="189" customFormat="1" ht="15" customHeight="1">
      <c r="A310" s="92" t="s">
        <v>35</v>
      </c>
      <c r="B310" s="70">
        <v>12</v>
      </c>
      <c r="C310" s="70">
        <v>3.41</v>
      </c>
      <c r="D310" s="70">
        <v>6.9</v>
      </c>
      <c r="E310" s="70">
        <v>9.29</v>
      </c>
      <c r="F310" s="70">
        <v>6</v>
      </c>
      <c r="G310" s="70">
        <v>4.96</v>
      </c>
      <c r="H310" s="70">
        <v>5.85</v>
      </c>
      <c r="I310" s="70">
        <v>5.58</v>
      </c>
      <c r="J310" s="70">
        <v>7.63</v>
      </c>
      <c r="K310" s="70">
        <v>7</v>
      </c>
      <c r="L310" s="70">
        <v>8.59</v>
      </c>
      <c r="M310" s="70" t="s">
        <v>223</v>
      </c>
      <c r="N310" s="92" t="s">
        <v>35</v>
      </c>
    </row>
    <row r="311" spans="1:16" ht="15" customHeight="1">
      <c r="A311" s="92" t="s">
        <v>36</v>
      </c>
      <c r="B311" s="70">
        <v>10</v>
      </c>
      <c r="C311" s="70">
        <v>3.32</v>
      </c>
      <c r="D311" s="70">
        <v>6.737499999999999</v>
      </c>
      <c r="E311" s="70">
        <v>9.2825</v>
      </c>
      <c r="F311" s="70">
        <v>6</v>
      </c>
      <c r="G311" s="70">
        <v>4.73</v>
      </c>
      <c r="H311" s="70">
        <v>5.85</v>
      </c>
      <c r="I311" s="70">
        <v>5.65</v>
      </c>
      <c r="J311" s="70">
        <v>7.68</v>
      </c>
      <c r="K311" s="70">
        <v>6.13</v>
      </c>
      <c r="L311" s="70">
        <v>8.59</v>
      </c>
      <c r="M311" s="70" t="s">
        <v>223</v>
      </c>
      <c r="N311" s="92" t="s">
        <v>36</v>
      </c>
      <c r="O311" s="189"/>
      <c r="P311" s="189"/>
    </row>
    <row r="312" spans="1:16" s="104" customFormat="1" ht="14.25" customHeight="1">
      <c r="A312" s="92" t="s">
        <v>37</v>
      </c>
      <c r="B312" s="76">
        <v>10</v>
      </c>
      <c r="C312" s="255">
        <v>3.39</v>
      </c>
      <c r="D312" s="70">
        <v>7.5</v>
      </c>
      <c r="E312" s="70">
        <v>9.47</v>
      </c>
      <c r="F312" s="256">
        <v>6</v>
      </c>
      <c r="G312" s="256">
        <v>4.73</v>
      </c>
      <c r="H312" s="257">
        <v>5.85</v>
      </c>
      <c r="I312" s="256">
        <v>5.57</v>
      </c>
      <c r="J312" s="256">
        <v>7.63</v>
      </c>
      <c r="K312" s="256">
        <v>7</v>
      </c>
      <c r="L312" s="256">
        <v>8.59</v>
      </c>
      <c r="M312" s="70" t="s">
        <v>226</v>
      </c>
      <c r="N312" s="92" t="s">
        <v>37</v>
      </c>
      <c r="O312" s="189"/>
      <c r="P312" s="189"/>
    </row>
    <row r="313" spans="3:14" ht="15" customHeight="1">
      <c r="C313" s="193"/>
      <c r="N313" s="60"/>
    </row>
    <row r="314" spans="1:14" s="227" customFormat="1" ht="15" customHeight="1">
      <c r="A314" s="108">
        <v>2014</v>
      </c>
      <c r="B314" s="327"/>
      <c r="C314" s="247"/>
      <c r="D314" s="247"/>
      <c r="F314" s="247"/>
      <c r="G314" s="247"/>
      <c r="H314" s="247"/>
      <c r="I314" s="247"/>
      <c r="J314" s="247"/>
      <c r="K314" s="247"/>
      <c r="L314" s="247"/>
      <c r="M314" s="247"/>
      <c r="N314" s="108">
        <v>2014</v>
      </c>
    </row>
    <row r="315" spans="1:14" s="227" customFormat="1" ht="15" customHeight="1">
      <c r="A315" s="92" t="s">
        <v>25</v>
      </c>
      <c r="B315" s="70">
        <v>10</v>
      </c>
      <c r="C315" s="70">
        <v>3.57</v>
      </c>
      <c r="D315" s="70">
        <v>7.67</v>
      </c>
      <c r="E315" s="70">
        <v>9.67</v>
      </c>
      <c r="F315" s="70">
        <v>6</v>
      </c>
      <c r="G315" s="256">
        <v>4.73</v>
      </c>
      <c r="H315" s="257">
        <v>5.85</v>
      </c>
      <c r="I315" s="256">
        <v>5.57</v>
      </c>
      <c r="J315" s="256">
        <v>7.63</v>
      </c>
      <c r="K315" s="256">
        <v>7</v>
      </c>
      <c r="L315" s="256">
        <v>8.59</v>
      </c>
      <c r="M315" s="70" t="s">
        <v>226</v>
      </c>
      <c r="N315" s="92" t="s">
        <v>25</v>
      </c>
    </row>
    <row r="316" spans="1:14" s="227" customFormat="1" ht="15" customHeight="1">
      <c r="A316" s="92" t="s">
        <v>26</v>
      </c>
      <c r="B316" s="70">
        <v>10</v>
      </c>
      <c r="C316" s="70">
        <v>3.35</v>
      </c>
      <c r="D316" s="70">
        <v>7.56</v>
      </c>
      <c r="E316" s="70">
        <v>9.4</v>
      </c>
      <c r="F316" s="70">
        <v>6</v>
      </c>
      <c r="G316" s="256">
        <v>4.73</v>
      </c>
      <c r="H316" s="257">
        <v>5.85</v>
      </c>
      <c r="I316" s="256">
        <v>5.57</v>
      </c>
      <c r="J316" s="256">
        <v>7.63</v>
      </c>
      <c r="K316" s="256">
        <v>7</v>
      </c>
      <c r="L316" s="256">
        <v>8.59</v>
      </c>
      <c r="M316" s="70" t="s">
        <v>226</v>
      </c>
      <c r="N316" s="92" t="s">
        <v>26</v>
      </c>
    </row>
    <row r="317" spans="1:14" s="227" customFormat="1" ht="15" customHeight="1">
      <c r="A317" s="92" t="s">
        <v>27</v>
      </c>
      <c r="B317" s="70">
        <v>10</v>
      </c>
      <c r="C317" s="70">
        <v>2.97</v>
      </c>
      <c r="D317" s="70">
        <v>7.34</v>
      </c>
      <c r="E317" s="70">
        <v>9.24</v>
      </c>
      <c r="F317" s="70">
        <v>6</v>
      </c>
      <c r="G317" s="256">
        <v>4.69</v>
      </c>
      <c r="H317" s="256">
        <v>5.85</v>
      </c>
      <c r="I317" s="256">
        <v>5.58</v>
      </c>
      <c r="J317" s="256">
        <v>7.63</v>
      </c>
      <c r="K317" s="256">
        <v>7</v>
      </c>
      <c r="L317" s="256">
        <v>8.59</v>
      </c>
      <c r="M317" s="70" t="s">
        <v>226</v>
      </c>
      <c r="N317" s="92" t="s">
        <v>27</v>
      </c>
    </row>
    <row r="318" spans="1:14" ht="15" customHeight="1">
      <c r="A318" s="92" t="s">
        <v>28</v>
      </c>
      <c r="B318" s="70">
        <v>10</v>
      </c>
      <c r="C318" s="70">
        <v>3.02</v>
      </c>
      <c r="D318" s="70">
        <v>5.97</v>
      </c>
      <c r="E318" s="70">
        <v>8.05</v>
      </c>
      <c r="F318" s="70">
        <v>6</v>
      </c>
      <c r="G318" s="256">
        <v>4.65</v>
      </c>
      <c r="H318" s="256">
        <v>5.85</v>
      </c>
      <c r="I318" s="256">
        <v>5.58</v>
      </c>
      <c r="J318" s="256">
        <v>7.63</v>
      </c>
      <c r="K318" s="256">
        <v>7</v>
      </c>
      <c r="L318" s="256">
        <v>8.59</v>
      </c>
      <c r="M318" s="70" t="s">
        <v>227</v>
      </c>
      <c r="N318" s="92" t="s">
        <v>28</v>
      </c>
    </row>
    <row r="319" spans="1:14" ht="15" customHeight="1">
      <c r="A319" s="92" t="s">
        <v>29</v>
      </c>
      <c r="B319" s="70">
        <v>10</v>
      </c>
      <c r="C319" s="70">
        <v>1.95</v>
      </c>
      <c r="D319" s="70">
        <v>3.77</v>
      </c>
      <c r="E319" s="70">
        <v>6.45</v>
      </c>
      <c r="F319" s="70">
        <v>6</v>
      </c>
      <c r="G319" s="256">
        <v>4.65</v>
      </c>
      <c r="H319" s="256">
        <v>5.75</v>
      </c>
      <c r="I319" s="256">
        <v>5.5</v>
      </c>
      <c r="J319" s="256">
        <v>7.43</v>
      </c>
      <c r="K319" s="256">
        <v>6.38</v>
      </c>
      <c r="L319" s="256">
        <v>8.47</v>
      </c>
      <c r="M319" s="70" t="s">
        <v>228</v>
      </c>
      <c r="N319" s="92" t="s">
        <v>29</v>
      </c>
    </row>
    <row r="320" spans="1:14" ht="15" customHeight="1">
      <c r="A320" s="92" t="s">
        <v>30</v>
      </c>
      <c r="B320" s="70">
        <v>10</v>
      </c>
      <c r="C320" s="70">
        <v>1.39</v>
      </c>
      <c r="D320" s="70">
        <v>1.66</v>
      </c>
      <c r="E320" s="70">
        <v>4.36</v>
      </c>
      <c r="F320" s="70">
        <v>6</v>
      </c>
      <c r="G320" s="256">
        <v>3.98</v>
      </c>
      <c r="H320" s="256">
        <v>5.06</v>
      </c>
      <c r="I320" s="256">
        <v>4.92</v>
      </c>
      <c r="J320" s="256">
        <v>6.54</v>
      </c>
      <c r="K320" s="256">
        <v>5.91</v>
      </c>
      <c r="L320" s="256">
        <v>7.64</v>
      </c>
      <c r="M320" s="70" t="s">
        <v>228</v>
      </c>
      <c r="N320" s="92" t="s">
        <v>30</v>
      </c>
    </row>
    <row r="321" spans="1:14" ht="15" customHeight="1">
      <c r="A321" s="92" t="s">
        <v>31</v>
      </c>
      <c r="B321" s="70">
        <v>10</v>
      </c>
      <c r="C321" s="70">
        <v>2.32</v>
      </c>
      <c r="D321" s="70">
        <v>2.79</v>
      </c>
      <c r="E321" s="70">
        <v>6.13</v>
      </c>
      <c r="F321" s="70">
        <v>5.5</v>
      </c>
      <c r="G321" s="256">
        <v>3.88</v>
      </c>
      <c r="H321" s="256">
        <v>4.88</v>
      </c>
      <c r="I321" s="256">
        <v>4.85</v>
      </c>
      <c r="J321" s="256">
        <v>6.43</v>
      </c>
      <c r="K321" s="256">
        <v>5.88</v>
      </c>
      <c r="L321" s="256">
        <v>7.51</v>
      </c>
      <c r="M321" s="70" t="s">
        <v>229</v>
      </c>
      <c r="N321" s="92" t="s">
        <v>31</v>
      </c>
    </row>
    <row r="322" spans="1:14" ht="15" customHeight="1">
      <c r="A322" s="92" t="s">
        <v>32</v>
      </c>
      <c r="B322" s="70">
        <v>10</v>
      </c>
      <c r="C322" s="70">
        <v>1.84</v>
      </c>
      <c r="D322" s="70">
        <v>3.76</v>
      </c>
      <c r="E322" s="70">
        <v>6.82</v>
      </c>
      <c r="F322" s="70">
        <v>6</v>
      </c>
      <c r="G322" s="256">
        <v>3.63</v>
      </c>
      <c r="H322" s="256">
        <v>4.67</v>
      </c>
      <c r="I322" s="256">
        <v>4.66</v>
      </c>
      <c r="J322" s="256">
        <v>6.15</v>
      </c>
      <c r="K322" s="256">
        <v>5.88</v>
      </c>
      <c r="L322" s="256">
        <v>7.19</v>
      </c>
      <c r="M322" s="70" t="s">
        <v>230</v>
      </c>
      <c r="N322" s="92" t="s">
        <v>32</v>
      </c>
    </row>
    <row r="323" spans="1:14" ht="15" customHeight="1">
      <c r="A323" s="92" t="s">
        <v>33</v>
      </c>
      <c r="B323" s="70">
        <v>10</v>
      </c>
      <c r="C323" s="70">
        <v>2.01</v>
      </c>
      <c r="D323" s="70">
        <v>3.49</v>
      </c>
      <c r="E323" s="70">
        <v>6.68</v>
      </c>
      <c r="F323" s="70">
        <v>5</v>
      </c>
      <c r="G323" s="256">
        <v>3.23</v>
      </c>
      <c r="H323" s="256">
        <v>4.08</v>
      </c>
      <c r="I323" s="256">
        <v>4.17</v>
      </c>
      <c r="J323" s="256">
        <v>5.54</v>
      </c>
      <c r="K323" s="256">
        <v>5.88</v>
      </c>
      <c r="L323" s="256">
        <v>6.51</v>
      </c>
      <c r="M323" s="70" t="s">
        <v>231</v>
      </c>
      <c r="N323" s="92" t="s">
        <v>33</v>
      </c>
    </row>
    <row r="324" spans="1:14" ht="15" customHeight="1">
      <c r="A324" s="92" t="s">
        <v>35</v>
      </c>
      <c r="B324" s="70">
        <v>10</v>
      </c>
      <c r="C324" s="70">
        <v>1.82</v>
      </c>
      <c r="D324" s="70">
        <v>3.09</v>
      </c>
      <c r="E324" s="70">
        <v>5.92</v>
      </c>
      <c r="F324" s="70">
        <v>5</v>
      </c>
      <c r="G324" s="256">
        <v>3.23</v>
      </c>
      <c r="H324" s="256">
        <v>4.08</v>
      </c>
      <c r="I324" s="256">
        <v>4.17</v>
      </c>
      <c r="J324" s="256">
        <v>5.54</v>
      </c>
      <c r="K324" s="256">
        <v>5.88</v>
      </c>
      <c r="L324" s="256">
        <v>6.51</v>
      </c>
      <c r="M324" s="70" t="s">
        <v>234</v>
      </c>
      <c r="N324" s="92" t="s">
        <v>35</v>
      </c>
    </row>
    <row r="325" spans="1:14" ht="15" customHeight="1">
      <c r="A325" s="92" t="s">
        <v>36</v>
      </c>
      <c r="B325" s="70">
        <v>10</v>
      </c>
      <c r="C325" s="70">
        <v>1.76</v>
      </c>
      <c r="D325" s="70">
        <v>2.54</v>
      </c>
      <c r="E325" s="70">
        <v>5.15</v>
      </c>
      <c r="F325" s="70">
        <v>5</v>
      </c>
      <c r="G325" s="256">
        <v>3.23</v>
      </c>
      <c r="H325" s="256">
        <v>4.08</v>
      </c>
      <c r="I325" s="256">
        <v>4.18</v>
      </c>
      <c r="J325" s="256">
        <v>5.54</v>
      </c>
      <c r="K325" s="256">
        <v>5.88</v>
      </c>
      <c r="L325" s="256">
        <v>6.53</v>
      </c>
      <c r="M325" s="70" t="s">
        <v>234</v>
      </c>
      <c r="N325" s="92" t="s">
        <v>36</v>
      </c>
    </row>
    <row r="326" spans="1:14" ht="15" customHeight="1">
      <c r="A326" s="92" t="s">
        <v>37</v>
      </c>
      <c r="B326" s="70">
        <v>10</v>
      </c>
      <c r="C326" s="70">
        <v>2.36</v>
      </c>
      <c r="D326" s="70">
        <v>2.83</v>
      </c>
      <c r="E326" s="70">
        <v>5.12</v>
      </c>
      <c r="F326" s="70">
        <v>5</v>
      </c>
      <c r="G326" s="256">
        <v>3.23</v>
      </c>
      <c r="H326" s="256">
        <v>4.08</v>
      </c>
      <c r="I326" s="256">
        <v>4.21</v>
      </c>
      <c r="J326" s="256">
        <v>5.57</v>
      </c>
      <c r="K326" s="256">
        <v>5.88</v>
      </c>
      <c r="L326" s="256">
        <v>6.59</v>
      </c>
      <c r="M326" s="70" t="s">
        <v>234</v>
      </c>
      <c r="N326" s="92" t="s">
        <v>37</v>
      </c>
    </row>
    <row r="328" spans="1:14" ht="15" customHeight="1">
      <c r="A328" s="108">
        <v>2015</v>
      </c>
      <c r="B328" s="327"/>
      <c r="N328" s="108">
        <v>2015</v>
      </c>
    </row>
    <row r="329" spans="1:14" ht="15" customHeight="1">
      <c r="A329" s="92" t="s">
        <v>25</v>
      </c>
      <c r="B329" s="70">
        <v>10</v>
      </c>
      <c r="C329" s="322">
        <v>2.2</v>
      </c>
      <c r="D329" s="10">
        <v>2.57</v>
      </c>
      <c r="E329" s="10">
        <v>4.94</v>
      </c>
      <c r="F329" s="322">
        <v>5</v>
      </c>
      <c r="G329" s="10">
        <v>2.85</v>
      </c>
      <c r="H329" s="10">
        <v>3.38</v>
      </c>
      <c r="I329" s="322">
        <v>3.480769230769231</v>
      </c>
      <c r="J329" s="322">
        <v>4.704166666666667</v>
      </c>
      <c r="K329" s="322">
        <v>3.375</v>
      </c>
      <c r="L329" s="322">
        <v>5.758333333333333</v>
      </c>
      <c r="M329" s="9" t="s">
        <v>234</v>
      </c>
      <c r="N329" s="92" t="s">
        <v>25</v>
      </c>
    </row>
    <row r="330" spans="1:14" ht="15" customHeight="1">
      <c r="A330" s="92" t="s">
        <v>26</v>
      </c>
      <c r="B330" s="70">
        <v>10</v>
      </c>
      <c r="C330" s="322">
        <v>2.46</v>
      </c>
      <c r="D330" s="10">
        <v>2.82</v>
      </c>
      <c r="E330" s="10">
        <v>5.33</v>
      </c>
      <c r="F330" s="322">
        <v>5</v>
      </c>
      <c r="G330" s="10">
        <v>2.85</v>
      </c>
      <c r="H330" s="10">
        <v>3.38</v>
      </c>
      <c r="I330" s="322">
        <v>3.480769230769231</v>
      </c>
      <c r="J330" s="322">
        <v>4.704166666666667</v>
      </c>
      <c r="K330" s="322">
        <v>3.375</v>
      </c>
      <c r="L330" s="322">
        <v>5.758333333333333</v>
      </c>
      <c r="M330" s="9" t="s">
        <v>234</v>
      </c>
      <c r="N330" s="92" t="s">
        <v>26</v>
      </c>
    </row>
    <row r="331" spans="1:14" ht="15" customHeight="1">
      <c r="A331" s="92" t="s">
        <v>27</v>
      </c>
      <c r="B331" s="70">
        <v>9.5</v>
      </c>
      <c r="C331" s="322">
        <v>2.7</v>
      </c>
      <c r="D331" s="10">
        <v>3.59</v>
      </c>
      <c r="E331" s="10">
        <v>6.77</v>
      </c>
      <c r="F331" s="322">
        <v>5</v>
      </c>
      <c r="G331" s="10">
        <v>2.85</v>
      </c>
      <c r="H331" s="10">
        <v>3.38</v>
      </c>
      <c r="I331" s="322">
        <v>3.480769230769231</v>
      </c>
      <c r="J331" s="322">
        <v>4.704166666666667</v>
      </c>
      <c r="K331" s="322">
        <v>3.375</v>
      </c>
      <c r="L331" s="322">
        <v>5.758333333333333</v>
      </c>
      <c r="M331" s="9" t="s">
        <v>234</v>
      </c>
      <c r="N331" s="92" t="s">
        <v>27</v>
      </c>
    </row>
    <row r="332" spans="1:14" ht="15" customHeight="1">
      <c r="A332" s="92" t="s">
        <v>28</v>
      </c>
      <c r="B332" s="70">
        <v>9.5</v>
      </c>
      <c r="C332" s="322">
        <v>2.67</v>
      </c>
      <c r="D332" s="10">
        <v>5.36</v>
      </c>
      <c r="E332" s="10">
        <v>7.73</v>
      </c>
      <c r="F332" s="322">
        <v>5</v>
      </c>
      <c r="G332" s="10">
        <v>2.85</v>
      </c>
      <c r="H332" s="10">
        <v>3.38</v>
      </c>
      <c r="I332" s="322">
        <v>3.480769230769231</v>
      </c>
      <c r="J332" s="322">
        <v>4.704166666666667</v>
      </c>
      <c r="K332" s="322">
        <v>3.375</v>
      </c>
      <c r="L332" s="322">
        <v>5.758333333333333</v>
      </c>
      <c r="M332" s="9" t="s">
        <v>234</v>
      </c>
      <c r="N332" s="92" t="s">
        <v>28</v>
      </c>
    </row>
    <row r="333" spans="1:14" ht="15" customHeight="1">
      <c r="A333" s="92" t="s">
        <v>29</v>
      </c>
      <c r="B333" s="70">
        <v>9.5</v>
      </c>
      <c r="C333" s="322">
        <v>3</v>
      </c>
      <c r="D333" s="10">
        <v>7.43</v>
      </c>
      <c r="E333" s="10">
        <v>8.39</v>
      </c>
      <c r="F333" s="322">
        <v>5</v>
      </c>
      <c r="G333" s="10">
        <v>2.85</v>
      </c>
      <c r="H333" s="10">
        <v>3.38</v>
      </c>
      <c r="I333" s="322">
        <v>3.480769230769231</v>
      </c>
      <c r="J333" s="322">
        <v>4.704166666666667</v>
      </c>
      <c r="K333" s="322">
        <v>3.375</v>
      </c>
      <c r="L333" s="322">
        <v>5.758333333333333</v>
      </c>
      <c r="M333" s="9" t="s">
        <v>234</v>
      </c>
      <c r="N333" s="92" t="s">
        <v>29</v>
      </c>
    </row>
    <row r="334" spans="1:14" ht="15" customHeight="1">
      <c r="A334" s="92" t="s">
        <v>30</v>
      </c>
      <c r="B334" s="70">
        <v>9.5</v>
      </c>
      <c r="C334" s="322">
        <v>2.7350000000000003</v>
      </c>
      <c r="D334" s="322">
        <v>5.8375</v>
      </c>
      <c r="E334" s="322">
        <v>7.8325</v>
      </c>
      <c r="F334" s="322">
        <v>5</v>
      </c>
      <c r="G334" s="322">
        <v>2.8461538461538463</v>
      </c>
      <c r="H334" s="10">
        <v>3.38</v>
      </c>
      <c r="I334" s="10">
        <v>3.48</v>
      </c>
      <c r="J334" s="322">
        <v>4.7</v>
      </c>
      <c r="K334" s="10">
        <v>3.38</v>
      </c>
      <c r="L334" s="10">
        <v>5.76</v>
      </c>
      <c r="M334" s="9" t="s">
        <v>256</v>
      </c>
      <c r="N334" s="92" t="s">
        <v>30</v>
      </c>
    </row>
    <row r="335" spans="1:14" ht="15" customHeight="1">
      <c r="A335" s="92" t="s">
        <v>31</v>
      </c>
      <c r="B335" s="70">
        <v>9.5</v>
      </c>
      <c r="C335" s="322">
        <v>1.864</v>
      </c>
      <c r="D335" s="322">
        <v>4.254</v>
      </c>
      <c r="E335" s="322">
        <v>6.418000000000001</v>
      </c>
      <c r="F335" s="322">
        <v>5</v>
      </c>
      <c r="G335" s="322">
        <v>2.8461538461538463</v>
      </c>
      <c r="H335" s="10">
        <v>3.38</v>
      </c>
      <c r="I335" s="10">
        <v>3.48</v>
      </c>
      <c r="J335" s="322">
        <v>4.7</v>
      </c>
      <c r="K335" s="10">
        <v>3.38</v>
      </c>
      <c r="L335" s="10">
        <v>5.76</v>
      </c>
      <c r="M335" s="9" t="s">
        <v>256</v>
      </c>
      <c r="N335" s="92" t="s">
        <v>31</v>
      </c>
    </row>
    <row r="336" spans="1:14" ht="15" customHeight="1">
      <c r="A336" s="92" t="s">
        <v>32</v>
      </c>
      <c r="B336" s="70">
        <v>9.5</v>
      </c>
      <c r="C336" s="322">
        <v>1.26</v>
      </c>
      <c r="D336" s="322">
        <v>3.36</v>
      </c>
      <c r="E336" s="322">
        <v>5.99</v>
      </c>
      <c r="F336" s="322">
        <v>5</v>
      </c>
      <c r="G336" s="322">
        <v>2.62</v>
      </c>
      <c r="H336" s="10">
        <v>2.89</v>
      </c>
      <c r="I336" s="10">
        <v>3.11</v>
      </c>
      <c r="J336" s="322">
        <v>4.27</v>
      </c>
      <c r="K336" s="10">
        <v>3.38</v>
      </c>
      <c r="L336" s="10">
        <v>5.35</v>
      </c>
      <c r="M336" s="9" t="s">
        <v>257</v>
      </c>
      <c r="N336" s="92" t="s">
        <v>32</v>
      </c>
    </row>
    <row r="337" spans="1:14" ht="15" customHeight="1">
      <c r="A337" s="92" t="s">
        <v>33</v>
      </c>
      <c r="B337" s="70">
        <v>9.5</v>
      </c>
      <c r="C337" s="322">
        <v>1.55</v>
      </c>
      <c r="D337" s="322">
        <v>3</v>
      </c>
      <c r="E337" s="322">
        <v>5.77</v>
      </c>
      <c r="F337" s="322">
        <v>5</v>
      </c>
      <c r="G337" s="322">
        <v>2.54</v>
      </c>
      <c r="H337" s="10">
        <v>2.73</v>
      </c>
      <c r="I337" s="10">
        <v>2.98</v>
      </c>
      <c r="J337" s="322">
        <v>4.12</v>
      </c>
      <c r="K337" s="10">
        <v>3.38</v>
      </c>
      <c r="L337" s="10">
        <v>5.22</v>
      </c>
      <c r="M337" s="9" t="s">
        <v>258</v>
      </c>
      <c r="N337" s="92" t="s">
        <v>33</v>
      </c>
    </row>
    <row r="338" spans="1:14" ht="15" customHeight="1">
      <c r="A338" s="92" t="s">
        <v>35</v>
      </c>
      <c r="B338" s="70">
        <v>9.5</v>
      </c>
      <c r="C338" s="10">
        <v>1.67</v>
      </c>
      <c r="D338" s="322">
        <v>3</v>
      </c>
      <c r="E338" s="322">
        <v>4.99</v>
      </c>
      <c r="F338" s="322">
        <v>5</v>
      </c>
      <c r="G338" s="322">
        <v>2.54</v>
      </c>
      <c r="H338" s="10">
        <v>2.73</v>
      </c>
      <c r="I338" s="10">
        <v>2.98</v>
      </c>
      <c r="J338" s="322">
        <v>4.12</v>
      </c>
      <c r="K338" s="10">
        <v>3.38</v>
      </c>
      <c r="L338" s="10">
        <v>5.22</v>
      </c>
      <c r="M338" s="9" t="s">
        <v>258</v>
      </c>
      <c r="N338" s="92" t="s">
        <v>35</v>
      </c>
    </row>
    <row r="339" spans="1:14" ht="15" customHeight="1">
      <c r="A339" s="92" t="s">
        <v>36</v>
      </c>
      <c r="B339" s="70">
        <v>9.5</v>
      </c>
      <c r="C339" s="329">
        <v>1.48</v>
      </c>
      <c r="D339" s="329">
        <v>3.07</v>
      </c>
      <c r="E339" s="329">
        <v>7.1</v>
      </c>
      <c r="F339" s="322">
        <v>5</v>
      </c>
      <c r="G339" s="322">
        <v>2.54</v>
      </c>
      <c r="H339" s="10">
        <v>2.73</v>
      </c>
      <c r="I339" s="329">
        <v>3</v>
      </c>
      <c r="J339" s="329">
        <v>4.22</v>
      </c>
      <c r="K339" s="10">
        <v>3.38</v>
      </c>
      <c r="L339" s="109">
        <v>5.35</v>
      </c>
      <c r="M339" s="143" t="s">
        <v>262</v>
      </c>
      <c r="N339" s="92" t="s">
        <v>36</v>
      </c>
    </row>
    <row r="340" spans="1:14" ht="15" customHeight="1">
      <c r="A340" s="92" t="s">
        <v>37</v>
      </c>
      <c r="B340" s="70">
        <v>9.5</v>
      </c>
      <c r="C340" s="329">
        <v>1.08</v>
      </c>
      <c r="D340" s="329">
        <v>3.11</v>
      </c>
      <c r="E340" s="329">
        <v>9.91</v>
      </c>
      <c r="F340" s="322">
        <v>5</v>
      </c>
      <c r="G340" s="322">
        <v>2.54</v>
      </c>
      <c r="H340" s="10">
        <v>2.73</v>
      </c>
      <c r="I340" s="109">
        <v>2.98</v>
      </c>
      <c r="J340" s="329">
        <v>4.2</v>
      </c>
      <c r="K340" s="10">
        <v>3.38</v>
      </c>
      <c r="L340" s="329">
        <v>5.3</v>
      </c>
      <c r="M340" s="143" t="s">
        <v>262</v>
      </c>
      <c r="N340" s="92" t="s">
        <v>37</v>
      </c>
    </row>
    <row r="341" spans="1:14" ht="15" customHeight="1">
      <c r="A341" s="92"/>
      <c r="B341" s="70"/>
      <c r="C341" s="329"/>
      <c r="D341" s="329"/>
      <c r="E341" s="329"/>
      <c r="F341" s="322"/>
      <c r="G341" s="322"/>
      <c r="H341" s="10"/>
      <c r="I341" s="109"/>
      <c r="J341" s="329"/>
      <c r="K341" s="10"/>
      <c r="L341" s="329"/>
      <c r="M341" s="143"/>
      <c r="N341" s="92"/>
    </row>
    <row r="342" spans="1:14" ht="15" customHeight="1">
      <c r="A342" s="339">
        <v>2016</v>
      </c>
      <c r="B342" s="70"/>
      <c r="C342" s="329"/>
      <c r="D342" s="329"/>
      <c r="E342" s="329"/>
      <c r="F342" s="322"/>
      <c r="G342" s="322"/>
      <c r="H342" s="10"/>
      <c r="I342" s="109"/>
      <c r="J342" s="329"/>
      <c r="K342" s="10"/>
      <c r="L342" s="329"/>
      <c r="M342" s="143"/>
      <c r="N342" s="339">
        <v>2016</v>
      </c>
    </row>
    <row r="343" spans="1:14" ht="15" customHeight="1">
      <c r="A343" s="92" t="s">
        <v>25</v>
      </c>
      <c r="B343" s="70">
        <v>9.5</v>
      </c>
      <c r="C343" s="329">
        <v>1.21</v>
      </c>
      <c r="D343" s="329">
        <v>2.57</v>
      </c>
      <c r="E343" s="329">
        <v>13.41</v>
      </c>
      <c r="F343" s="322">
        <v>5</v>
      </c>
      <c r="G343" s="322">
        <v>2.54</v>
      </c>
      <c r="H343" s="10">
        <v>2.73</v>
      </c>
      <c r="I343" s="109">
        <v>2.98</v>
      </c>
      <c r="J343" s="329">
        <v>4.2</v>
      </c>
      <c r="K343" s="10">
        <v>3.38</v>
      </c>
      <c r="L343" s="329">
        <v>5.3</v>
      </c>
      <c r="M343" s="143" t="s">
        <v>262</v>
      </c>
      <c r="N343" s="92" t="s">
        <v>25</v>
      </c>
    </row>
    <row r="344" spans="1:14" ht="15" customHeight="1">
      <c r="A344" s="92" t="s">
        <v>26</v>
      </c>
      <c r="B344" s="70">
        <v>9.5</v>
      </c>
      <c r="C344" s="329">
        <v>3.51</v>
      </c>
      <c r="D344" s="329">
        <v>4.12</v>
      </c>
      <c r="E344" s="329">
        <v>16.12</v>
      </c>
      <c r="F344" s="322">
        <v>5</v>
      </c>
      <c r="G344" s="322">
        <v>2.54</v>
      </c>
      <c r="H344" s="10">
        <v>2.73</v>
      </c>
      <c r="I344" s="109">
        <v>2.98</v>
      </c>
      <c r="J344" s="329">
        <v>4.2</v>
      </c>
      <c r="K344" s="10">
        <v>3.38</v>
      </c>
      <c r="L344" s="329">
        <v>5.3</v>
      </c>
      <c r="M344" s="143" t="s">
        <v>262</v>
      </c>
      <c r="N344" s="92" t="s">
        <v>26</v>
      </c>
    </row>
    <row r="345" spans="1:14" ht="15" customHeight="1">
      <c r="A345" s="92" t="s">
        <v>27</v>
      </c>
      <c r="B345" s="70">
        <v>9.5</v>
      </c>
      <c r="C345" s="329">
        <v>3.51</v>
      </c>
      <c r="D345" s="329">
        <v>9.21</v>
      </c>
      <c r="E345" s="329">
        <v>18.96</v>
      </c>
      <c r="F345" s="322">
        <v>5</v>
      </c>
      <c r="G345" s="322">
        <v>2.54</v>
      </c>
      <c r="H345" s="322">
        <v>2.8</v>
      </c>
      <c r="I345" s="109">
        <v>3.02</v>
      </c>
      <c r="J345" s="329">
        <v>4.28</v>
      </c>
      <c r="K345" s="10">
        <v>3.38</v>
      </c>
      <c r="L345" s="329">
        <v>5.8</v>
      </c>
      <c r="M345" s="143" t="s">
        <v>258</v>
      </c>
      <c r="N345" s="92" t="s">
        <v>27</v>
      </c>
    </row>
    <row r="346" spans="1:14" ht="15" customHeight="1">
      <c r="A346" s="92" t="s">
        <v>28</v>
      </c>
      <c r="B346" s="70">
        <v>9.5</v>
      </c>
      <c r="C346" s="10">
        <v>6.82</v>
      </c>
      <c r="D346" s="10">
        <v>10.18</v>
      </c>
      <c r="E346" s="10">
        <v>23.48</v>
      </c>
      <c r="F346" s="322">
        <v>5</v>
      </c>
      <c r="G346" s="10">
        <v>2.54</v>
      </c>
      <c r="H346" s="322">
        <v>2.8</v>
      </c>
      <c r="I346" s="10">
        <v>3.02</v>
      </c>
      <c r="J346" s="10">
        <v>4.28</v>
      </c>
      <c r="K346" s="10">
        <v>3.38</v>
      </c>
      <c r="L346" s="322">
        <v>5.8</v>
      </c>
      <c r="M346" s="9" t="s">
        <v>258</v>
      </c>
      <c r="N346" s="50" t="s">
        <v>28</v>
      </c>
    </row>
    <row r="347" spans="1:14" ht="15" customHeight="1">
      <c r="A347" s="92" t="s">
        <v>29</v>
      </c>
      <c r="B347" s="70">
        <v>9.5</v>
      </c>
      <c r="C347" s="10">
        <v>6.41</v>
      </c>
      <c r="D347" s="10">
        <v>10.49</v>
      </c>
      <c r="E347" s="10">
        <v>24.97</v>
      </c>
      <c r="F347" s="322">
        <v>5</v>
      </c>
      <c r="G347" s="10">
        <v>2.54</v>
      </c>
      <c r="H347" s="322">
        <v>2.8</v>
      </c>
      <c r="I347" s="10">
        <v>3.02</v>
      </c>
      <c r="J347" s="10">
        <v>4.28</v>
      </c>
      <c r="K347" s="10">
        <v>3.38</v>
      </c>
      <c r="L347" s="322">
        <v>5.8</v>
      </c>
      <c r="M347" s="9" t="s">
        <v>258</v>
      </c>
      <c r="N347" s="50" t="s">
        <v>29</v>
      </c>
    </row>
    <row r="348" spans="1:14" ht="15" customHeight="1">
      <c r="A348" s="92" t="s">
        <v>30</v>
      </c>
      <c r="B348" s="70">
        <v>9.5</v>
      </c>
      <c r="C348" s="10">
        <v>5.34</v>
      </c>
      <c r="D348" s="10">
        <v>9.68</v>
      </c>
      <c r="E348" s="10">
        <v>17.51</v>
      </c>
      <c r="F348" s="322">
        <v>5</v>
      </c>
      <c r="G348" s="10">
        <v>2.54</v>
      </c>
      <c r="H348" s="322">
        <v>2.8</v>
      </c>
      <c r="I348" s="10">
        <v>3.02</v>
      </c>
      <c r="J348" s="10">
        <v>4.28</v>
      </c>
      <c r="K348" s="10">
        <v>3.38</v>
      </c>
      <c r="L348" s="322">
        <v>5.8</v>
      </c>
      <c r="M348" s="9" t="s">
        <v>258</v>
      </c>
      <c r="N348" s="50" t="s">
        <v>30</v>
      </c>
    </row>
    <row r="349" spans="1:14" ht="15" customHeight="1">
      <c r="A349" s="92" t="s">
        <v>31</v>
      </c>
      <c r="B349" s="70"/>
      <c r="C349" s="10">
        <v>5.73</v>
      </c>
      <c r="D349" s="10">
        <v>8.94</v>
      </c>
      <c r="E349" s="10">
        <v>17.89</v>
      </c>
      <c r="F349" s="322">
        <v>5</v>
      </c>
      <c r="G349" s="10">
        <v>2.54</v>
      </c>
      <c r="H349" s="322">
        <v>2.8</v>
      </c>
      <c r="I349" s="10">
        <v>3.02</v>
      </c>
      <c r="J349" s="10">
        <v>4.28</v>
      </c>
      <c r="K349" s="10">
        <v>3.38</v>
      </c>
      <c r="L349" s="322">
        <v>5.8</v>
      </c>
      <c r="M349" s="104" t="s">
        <v>258</v>
      </c>
      <c r="N349" s="50" t="s">
        <v>31</v>
      </c>
    </row>
    <row r="350" spans="1:14" ht="15" customHeight="1">
      <c r="A350" s="92" t="s">
        <v>32</v>
      </c>
      <c r="B350" s="70"/>
      <c r="C350" s="10">
        <v>6.36</v>
      </c>
      <c r="D350" s="10">
        <v>10.19</v>
      </c>
      <c r="E350" s="10">
        <v>17.29</v>
      </c>
      <c r="F350" s="322">
        <v>5</v>
      </c>
      <c r="G350" s="10">
        <v>2.54</v>
      </c>
      <c r="H350" s="322">
        <v>2.8</v>
      </c>
      <c r="I350" s="10">
        <v>3.02</v>
      </c>
      <c r="J350" s="10">
        <v>4.28</v>
      </c>
      <c r="K350" s="10">
        <v>3.38</v>
      </c>
      <c r="L350" s="322">
        <v>5.8</v>
      </c>
      <c r="M350" s="104" t="s">
        <v>258</v>
      </c>
      <c r="N350" s="50" t="s">
        <v>32</v>
      </c>
    </row>
    <row r="351" spans="1:14" ht="15" customHeight="1">
      <c r="A351" s="92" t="s">
        <v>33</v>
      </c>
      <c r="B351" s="70"/>
      <c r="C351" s="10">
        <v>7.96</v>
      </c>
      <c r="D351" s="10">
        <v>12.03</v>
      </c>
      <c r="E351" s="10">
        <v>19.34</v>
      </c>
      <c r="F351" s="322">
        <v>5</v>
      </c>
      <c r="G351" s="10">
        <v>2.54</v>
      </c>
      <c r="H351" s="322">
        <v>2.8</v>
      </c>
      <c r="I351" s="10">
        <v>3.02</v>
      </c>
      <c r="J351" s="10">
        <v>4.28</v>
      </c>
      <c r="K351" s="10">
        <v>3.38</v>
      </c>
      <c r="L351" s="322">
        <v>5.8</v>
      </c>
      <c r="M351" s="104" t="s">
        <v>272</v>
      </c>
      <c r="N351" s="50" t="s">
        <v>33</v>
      </c>
    </row>
    <row r="352" spans="1:14" ht="15" customHeight="1">
      <c r="A352" s="92" t="s">
        <v>35</v>
      </c>
      <c r="B352" s="70"/>
      <c r="C352" s="10"/>
      <c r="D352" s="10"/>
      <c r="E352" s="10"/>
      <c r="F352" s="322"/>
      <c r="G352" s="10"/>
      <c r="H352" s="322"/>
      <c r="I352" s="10"/>
      <c r="J352" s="10"/>
      <c r="K352" s="10"/>
      <c r="L352" s="322"/>
      <c r="N352" s="50" t="s">
        <v>35</v>
      </c>
    </row>
  </sheetData>
  <sheetProtection/>
  <mergeCells count="3">
    <mergeCell ref="A1:N1"/>
    <mergeCell ref="C2:F2"/>
    <mergeCell ref="F3:F5"/>
  </mergeCells>
  <printOptions horizontalCentered="1"/>
  <pageMargins left="0.5" right="0.5" top="0.5" bottom="0.5" header="0.5" footer="0.5"/>
  <pageSetup fitToHeight="1" fitToWidth="1" horizontalDpi="600" verticalDpi="600" orientation="landscape" scale="52" r:id="rId1"/>
  <headerFooter alignWithMargins="0">
    <oddFooter>&amp;L&amp;D&amp;R&amp;T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Goba</dc:creator>
  <cp:keywords/>
  <dc:description/>
  <cp:lastModifiedBy>angombu</cp:lastModifiedBy>
  <cp:lastPrinted>2016-12-15T14:10:00Z</cp:lastPrinted>
  <dcterms:created xsi:type="dcterms:W3CDTF">2010-08-25T09:57:27Z</dcterms:created>
  <dcterms:modified xsi:type="dcterms:W3CDTF">2016-12-15T14:13:31Z</dcterms:modified>
  <cp:category/>
  <cp:version/>
  <cp:contentType/>
  <cp:contentStatus/>
</cp:coreProperties>
</file>